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20" yWindow="120" windowWidth="7725" windowHeight="2040" firstSheet="14" activeTab="14"/>
  </bookViews>
  <sheets>
    <sheet name="1.1" sheetId="3" r:id="rId1"/>
    <sheet name="1.2" sheetId="13" r:id="rId2"/>
    <sheet name="1.3 " sheetId="4" r:id="rId3"/>
    <sheet name="1 качество бюдж.планир." sheetId="18" r:id="rId4"/>
    <sheet name="2.1" sheetId="10" r:id="rId5"/>
    <sheet name="2.2" sheetId="5" r:id="rId6"/>
    <sheet name="2.3" sheetId="6" r:id="rId7"/>
    <sheet name="2 качество исполн.бюдж." sheetId="24" r:id="rId8"/>
    <sheet name="3.1" sheetId="43" r:id="rId9"/>
    <sheet name="3 качество управл.долг.обяз." sheetId="25" r:id="rId10"/>
    <sheet name="4.1" sheetId="46" r:id="rId11"/>
    <sheet name="4.2" sheetId="45" r:id="rId12"/>
    <sheet name="4.3" sheetId="44" r:id="rId13"/>
    <sheet name="4.4" sheetId="7" r:id="rId14"/>
    <sheet name="4 степень открытости" sheetId="28" r:id="rId15"/>
    <sheet name="Степень качества" sheetId="29" r:id="rId16"/>
    <sheet name="Индикаторы" sheetId="8" r:id="rId17"/>
    <sheet name="Рейтинго качества" sheetId="47" r:id="rId18"/>
    <sheet name="Диаграмма" sheetId="37" r:id="rId19"/>
    <sheet name="Баллы по порядку(для диаг)" sheetId="31" r:id="rId20"/>
  </sheets>
  <calcPr calcId="125725"/>
</workbook>
</file>

<file path=xl/calcChain.xml><?xml version="1.0" encoding="utf-8"?>
<calcChain xmlns="http://schemas.openxmlformats.org/spreadsheetml/2006/main">
  <c r="G7" i="47"/>
  <c r="G8"/>
  <c r="G9"/>
  <c r="G6"/>
  <c r="E9"/>
  <c r="E8"/>
  <c r="E7"/>
  <c r="E6"/>
  <c r="B9"/>
  <c r="B8"/>
  <c r="B7"/>
  <c r="B6"/>
  <c r="D10" i="8"/>
  <c r="D9"/>
  <c r="D8"/>
  <c r="D7"/>
  <c r="F7"/>
  <c r="S10"/>
  <c r="S9"/>
  <c r="S8"/>
  <c r="S7"/>
  <c r="AA16"/>
  <c r="AA10"/>
  <c r="Y10" s="1"/>
  <c r="AA9"/>
  <c r="AA8"/>
  <c r="AA7"/>
  <c r="Y9"/>
  <c r="Y8"/>
  <c r="W11"/>
  <c r="W12"/>
  <c r="W13"/>
  <c r="W14"/>
  <c r="W15"/>
  <c r="W16"/>
  <c r="X8"/>
  <c r="X9"/>
  <c r="X10"/>
  <c r="X11"/>
  <c r="X12"/>
  <c r="X13"/>
  <c r="X14"/>
  <c r="X15"/>
  <c r="X7"/>
  <c r="W8"/>
  <c r="W9"/>
  <c r="W10"/>
  <c r="W7"/>
  <c r="P16"/>
  <c r="I10"/>
  <c r="M16"/>
  <c r="X16" s="1"/>
  <c r="L16"/>
  <c r="R16"/>
  <c r="AB16"/>
  <c r="K10"/>
  <c r="K9"/>
  <c r="I9" s="1"/>
  <c r="K8"/>
  <c r="I8" s="1"/>
  <c r="K7"/>
  <c r="I7" s="1"/>
  <c r="Q10"/>
  <c r="N10" s="1"/>
  <c r="Q9"/>
  <c r="N9" s="1"/>
  <c r="Q8"/>
  <c r="N8" s="1"/>
  <c r="Q7"/>
  <c r="N7" s="1"/>
  <c r="C12" i="47" l="1"/>
  <c r="C6" s="1"/>
  <c r="D6" s="1"/>
  <c r="K16" i="8"/>
  <c r="Q16"/>
  <c r="B6" i="18"/>
  <c r="C15" i="28"/>
  <c r="B15"/>
  <c r="D15" i="7"/>
  <c r="C9" i="28"/>
  <c r="C8"/>
  <c r="C7"/>
  <c r="C6"/>
  <c r="B9"/>
  <c r="B8"/>
  <c r="B7"/>
  <c r="B6"/>
  <c r="D9" i="7"/>
  <c r="D8"/>
  <c r="D7"/>
  <c r="D6"/>
  <c r="C9"/>
  <c r="C8"/>
  <c r="C7"/>
  <c r="C6"/>
  <c r="D11" i="44"/>
  <c r="D10"/>
  <c r="D9"/>
  <c r="D8"/>
  <c r="D7"/>
  <c r="D11" i="45"/>
  <c r="D10"/>
  <c r="D9"/>
  <c r="D8"/>
  <c r="D7"/>
  <c r="D11" i="46"/>
  <c r="D10"/>
  <c r="D9"/>
  <c r="D8"/>
  <c r="D7"/>
  <c r="B10" i="25"/>
  <c r="C10" s="1"/>
  <c r="B9"/>
  <c r="B8"/>
  <c r="B7"/>
  <c r="B6"/>
  <c r="E9" i="43"/>
  <c r="E8"/>
  <c r="E7"/>
  <c r="E6"/>
  <c r="D10"/>
  <c r="D9"/>
  <c r="D8"/>
  <c r="D7"/>
  <c r="D6"/>
  <c r="C9"/>
  <c r="C8"/>
  <c r="C6"/>
  <c r="C7"/>
  <c r="C11"/>
  <c r="G10"/>
  <c r="G9"/>
  <c r="G8"/>
  <c r="F8"/>
  <c r="G7"/>
  <c r="F7"/>
  <c r="G6"/>
  <c r="B10"/>
  <c r="G8" i="6"/>
  <c r="B9" i="24"/>
  <c r="B8"/>
  <c r="B6"/>
  <c r="I16" i="6"/>
  <c r="I10"/>
  <c r="I9"/>
  <c r="I7"/>
  <c r="H16"/>
  <c r="H10"/>
  <c r="H9"/>
  <c r="H8"/>
  <c r="I8" s="1"/>
  <c r="B7" i="24" s="1"/>
  <c r="H7" i="6"/>
  <c r="G16"/>
  <c r="G10"/>
  <c r="G9"/>
  <c r="G7"/>
  <c r="F16"/>
  <c r="F10"/>
  <c r="F9"/>
  <c r="F8"/>
  <c r="F7"/>
  <c r="D22"/>
  <c r="D20"/>
  <c r="D25"/>
  <c r="D24"/>
  <c r="E16"/>
  <c r="D10" i="5"/>
  <c r="D9"/>
  <c r="D8"/>
  <c r="D7"/>
  <c r="B9" i="18"/>
  <c r="B8"/>
  <c r="B7"/>
  <c r="F10" i="4"/>
  <c r="F9"/>
  <c r="F8"/>
  <c r="F7"/>
  <c r="E10"/>
  <c r="E9"/>
  <c r="E8"/>
  <c r="E7"/>
  <c r="D24"/>
  <c r="D23"/>
  <c r="D25" i="3"/>
  <c r="D24"/>
  <c r="G16" i="4"/>
  <c r="G10"/>
  <c r="G9"/>
  <c r="G8"/>
  <c r="G7"/>
  <c r="H16" i="3"/>
  <c r="H10"/>
  <c r="H9"/>
  <c r="H8"/>
  <c r="H7"/>
  <c r="G16"/>
  <c r="G10"/>
  <c r="G9"/>
  <c r="G8"/>
  <c r="G7"/>
  <c r="F16"/>
  <c r="F10"/>
  <c r="F9"/>
  <c r="F8"/>
  <c r="F7"/>
  <c r="E16"/>
  <c r="E10"/>
  <c r="E9"/>
  <c r="E8"/>
  <c r="E7"/>
  <c r="D16"/>
  <c r="D20" s="1"/>
  <c r="B10" i="6"/>
  <c r="B9"/>
  <c r="B7"/>
  <c r="B8"/>
  <c r="C10"/>
  <c r="C9"/>
  <c r="C7"/>
  <c r="C8"/>
  <c r="B17"/>
  <c r="C17"/>
  <c r="C9" i="47" l="1"/>
  <c r="D9" s="1"/>
  <c r="C7"/>
  <c r="D7" s="1"/>
  <c r="C13" s="1"/>
  <c r="C14" s="1"/>
  <c r="E17" s="1"/>
  <c r="F18" s="1"/>
  <c r="C8"/>
  <c r="D8" s="1"/>
  <c r="H7" i="43"/>
  <c r="I7" s="1"/>
  <c r="H8"/>
  <c r="I8" s="1"/>
  <c r="F6"/>
  <c r="H6" s="1"/>
  <c r="I6" s="1"/>
  <c r="C10"/>
  <c r="C12" s="1"/>
  <c r="B12"/>
  <c r="C10" i="4"/>
  <c r="C9"/>
  <c r="C8"/>
  <c r="C7"/>
  <c r="C17"/>
  <c r="B17"/>
  <c r="B10"/>
  <c r="B9"/>
  <c r="B8"/>
  <c r="B7"/>
  <c r="C16" i="6"/>
  <c r="C18" s="1"/>
  <c r="B16"/>
  <c r="B16" i="5"/>
  <c r="B18" s="1"/>
  <c r="B15" i="10"/>
  <c r="C16" i="4"/>
  <c r="D15" i="13"/>
  <c r="C15"/>
  <c r="B16" i="3"/>
  <c r="B18" s="1"/>
  <c r="B12" i="31"/>
  <c r="D7" i="6"/>
  <c r="E7" s="1"/>
  <c r="D9" i="4"/>
  <c r="D10"/>
  <c r="D7" i="3"/>
  <c r="D10"/>
  <c r="D8"/>
  <c r="D9"/>
  <c r="D8" i="6"/>
  <c r="E8" s="1"/>
  <c r="D10"/>
  <c r="E10" s="1"/>
  <c r="D9"/>
  <c r="E9" s="1"/>
  <c r="C16" i="3"/>
  <c r="C18" s="1"/>
  <c r="C8" i="25"/>
  <c r="C7"/>
  <c r="C6"/>
  <c r="C9"/>
  <c r="D7" i="13"/>
  <c r="D8"/>
  <c r="D9"/>
  <c r="D6"/>
  <c r="D7" i="10"/>
  <c r="D8"/>
  <c r="D9"/>
  <c r="D6"/>
  <c r="E16" i="47" l="1"/>
  <c r="F17" s="1"/>
  <c r="H9" i="4"/>
  <c r="I9" s="1"/>
  <c r="H10"/>
  <c r="I10" s="1"/>
  <c r="D8"/>
  <c r="H8" s="1"/>
  <c r="I8" s="1"/>
  <c r="D16" i="6"/>
  <c r="C18" i="4"/>
  <c r="B16"/>
  <c r="D16" s="1"/>
  <c r="D7"/>
  <c r="H7" s="1"/>
  <c r="I7" s="1"/>
  <c r="B17" i="10"/>
  <c r="B18" i="6"/>
  <c r="D17"/>
  <c r="F10" i="43" l="1"/>
  <c r="H10" s="1"/>
  <c r="I10" s="1"/>
  <c r="D13"/>
  <c r="D19" i="4"/>
  <c r="F16"/>
  <c r="H16" s="1"/>
  <c r="I16" s="1"/>
  <c r="B18"/>
  <c r="D18" i="43" l="1"/>
  <c r="F9" s="1"/>
  <c r="H9" s="1"/>
  <c r="I9" s="1"/>
  <c r="D17"/>
  <c r="C7" i="24" l="1"/>
  <c r="C9" l="1"/>
  <c r="C6"/>
  <c r="C8"/>
  <c r="C9" i="18" l="1"/>
  <c r="B9" i="29" s="1"/>
  <c r="C6" i="18"/>
  <c r="B6" i="29" s="1"/>
  <c r="C8" i="18"/>
  <c r="B8" i="29" s="1"/>
  <c r="C7" i="18"/>
  <c r="B7" i="29" s="1"/>
  <c r="B15" i="24"/>
  <c r="C15" s="1"/>
  <c r="C12" i="29" l="1"/>
  <c r="C9"/>
  <c r="D9" s="1"/>
  <c r="C15" i="18"/>
  <c r="B15"/>
  <c r="C7" i="29" l="1"/>
  <c r="D7"/>
  <c r="C6"/>
  <c r="D6" s="1"/>
  <c r="C8"/>
  <c r="D8" s="1"/>
  <c r="C13" l="1"/>
  <c r="C14" s="1"/>
  <c r="E16" l="1"/>
  <c r="E17"/>
  <c r="F18" s="1"/>
  <c r="F17"/>
</calcChain>
</file>

<file path=xl/sharedStrings.xml><?xml version="1.0" encoding="utf-8"?>
<sst xmlns="http://schemas.openxmlformats.org/spreadsheetml/2006/main" count="344" uniqueCount="162">
  <si>
    <t>Поселения</t>
  </si>
  <si>
    <t>Объём доходов без учёта безвозмездных поступлений</t>
  </si>
  <si>
    <t>Первоначально утвержденный Решением СД объём доходов без учёта безвозмездных поступлений</t>
  </si>
  <si>
    <t>4((2-3)/3)</t>
  </si>
  <si>
    <t>ВСЕГО</t>
  </si>
  <si>
    <t>Расходы бюджета в IV кв.(без учета субс.,субв.,и иных м/б трансфертов)</t>
  </si>
  <si>
    <t>Расходы бюджета за 9 мес.(без учета субс.,субв.,и иных м/б трансфертов)</t>
  </si>
  <si>
    <t>Кол-во месяцев в отч.фин.году,за которые бюдж.отчётность представлена позже установленного срока</t>
  </si>
  <si>
    <t>Утверждение бюджета</t>
  </si>
  <si>
    <t>Квадрат отклонения значений комплексной оценки качества от среднего значения</t>
  </si>
  <si>
    <t>I степень качества управления муниципальными финансами</t>
  </si>
  <si>
    <t>II степень качества управления муниципальными финансами</t>
  </si>
  <si>
    <t>III степень качества управления муниципальными финансами</t>
  </si>
  <si>
    <t>Утверждён</t>
  </si>
  <si>
    <t>Среднее отклонение квадратов от среднего значения</t>
  </si>
  <si>
    <t>Общая сумма баллов по убывающей</t>
  </si>
  <si>
    <t>Маловишерское городское поселение</t>
  </si>
  <si>
    <t>Большевишерское городское поселение</t>
  </si>
  <si>
    <t>Бургинское сельское поселение</t>
  </si>
  <si>
    <t>Веребьинское сельское поселение</t>
  </si>
  <si>
    <t>Резервный фонд на 01.01.2023</t>
  </si>
  <si>
    <t>Расходы бюджета за 2023 год (без учета субс.,субв.,и иных м/б трансфертов)</t>
  </si>
  <si>
    <t xml:space="preserve">Расходы </t>
  </si>
  <si>
    <t>Программные расходы</t>
  </si>
  <si>
    <t xml:space="preserve">1.1 Удельный вес расходов бюджета, формируемых в рамках муниципальных программ, в общем </t>
  </si>
  <si>
    <t>объеме расходов бюджета в отчетном финансовом году</t>
  </si>
  <si>
    <t>среднее значение индикатора</t>
  </si>
  <si>
    <t>минимальное значение индикатора</t>
  </si>
  <si>
    <t>максимальное значение индикатора</t>
  </si>
  <si>
    <t>проверка</t>
  </si>
  <si>
    <t>7 (5 / 6)</t>
  </si>
  <si>
    <t>4 (2 / 3)</t>
  </si>
  <si>
    <t>Значение индикатора Ui</t>
  </si>
  <si>
    <t xml:space="preserve">1.2 Утверждение бюджета поселения на очередной финансовый год и плановый период </t>
  </si>
  <si>
    <t>Оценка значения индикатора Ei (целевое значение "Утвержден")</t>
  </si>
  <si>
    <t>1.3 Исполнение бюджета поселения по доходам без учета безвозмездных поступлений</t>
  </si>
  <si>
    <t>к первоначально утвержденному уровню</t>
  </si>
  <si>
    <t>Umax - Umin</t>
  </si>
  <si>
    <t>Umax - Ui</t>
  </si>
  <si>
    <t>Оценка значения индикатора Ei</t>
  </si>
  <si>
    <t>отклонение значения индикатора более, чем в 5 раз от среднего по всем поселениям</t>
  </si>
  <si>
    <t xml:space="preserve">      среднее значение индикатора * 5</t>
  </si>
  <si>
    <t xml:space="preserve">      среднее значение индикатора / 5</t>
  </si>
  <si>
    <t>4у</t>
  </si>
  <si>
    <t>Усреднен-ное значение индикатора Ui</t>
  </si>
  <si>
    <t>1. Качество бюджетного планирования</t>
  </si>
  <si>
    <t>2.1 Предусмотрены ли средства резервного фонда в бюджете поселения</t>
  </si>
  <si>
    <t>Оценка значения индикатора Ei (целевое значение "&gt;0")</t>
  </si>
  <si>
    <t>2.2 Объем просроченной кредиторской задолженности по выплате заработной платы за счет</t>
  </si>
  <si>
    <t>средств бюджета поселения</t>
  </si>
  <si>
    <t>Объём просроченной кредиторской задолженности по зар.плате на 01.01.24</t>
  </si>
  <si>
    <t>Оценка значения индикатора Ei (целевое значение "=0")</t>
  </si>
  <si>
    <t>2.3 Отклонение объема расходов в IV квартале от среднего объема расходов за I-III кварталы</t>
  </si>
  <si>
    <t>(без учета субсидий, субвенций и иных межбюджетных трансфетров, поступивших из областного бюджета)</t>
  </si>
  <si>
    <t>8 (6 / 7)</t>
  </si>
  <si>
    <t>2. Качество исполнения бюджета</t>
  </si>
  <si>
    <t>5 (4/(1,1*2/3)</t>
  </si>
  <si>
    <t>3.1 Уровень долговой нагрузки</t>
  </si>
  <si>
    <t>4 (2/3)</t>
  </si>
  <si>
    <t>Объем муниципального долга на 01.01.24</t>
  </si>
  <si>
    <t>Объем доходов без учета субвенций из областного бюджета</t>
  </si>
  <si>
    <t>3. Качество управления долговыми обязательствами</t>
  </si>
  <si>
    <t>4.1 Размещение на официальном сайте Администрации поселения решения о бюджете и годового отчета</t>
  </si>
  <si>
    <t>о результатах деятельности поселения за отчетный финансовый год</t>
  </si>
  <si>
    <t>Размещение на официальном сайте</t>
  </si>
  <si>
    <t>Осуществляется</t>
  </si>
  <si>
    <t>Оценка значения индикатора Ei (целевое значение "Осуществляется")</t>
  </si>
  <si>
    <t>об исполнении бюджета поселения в соответствии с установленным порядком</t>
  </si>
  <si>
    <t xml:space="preserve">4.2 Проведение публичных слушаний по проекту бюджета поселения и проекту отчета </t>
  </si>
  <si>
    <t>Проведение публичных слушаний</t>
  </si>
  <si>
    <t>Оценка значения индикатора Ei (целевое значение "Выполняется")</t>
  </si>
  <si>
    <t>Выполняется</t>
  </si>
  <si>
    <t xml:space="preserve">4.3 Ежемесясчное размещение на официальном сайте Администрации </t>
  </si>
  <si>
    <t>поселения отчетов об исполнении бюджета поселения</t>
  </si>
  <si>
    <t>4.4 Своевременность предоставления бюджетной отчетности в комитет финансов</t>
  </si>
  <si>
    <t>3 ((1)-2)</t>
  </si>
  <si>
    <t>Комплексная оценка качества управления местными бюджетами</t>
  </si>
  <si>
    <t>Ō - среднее арифметическое значение комплексной оценки по всем поселениям</t>
  </si>
  <si>
    <t>σ - среднеквадратическое отклонение значений комплексной оценки качества от среднего значения</t>
  </si>
  <si>
    <t>Ō + ⅔σ ; 100</t>
  </si>
  <si>
    <t>Ō - ⅔σ ; Ō + ⅔σ</t>
  </si>
  <si>
    <t>0 ; Ō - ⅔σ</t>
  </si>
  <si>
    <t>Оценка качества по направле-нию Oji (удельный вес индикатора 2)</t>
  </si>
  <si>
    <t>Оценка качества по направле-нию Oji (удельный вес индикатора 1)</t>
  </si>
  <si>
    <t>Оценка качества по направлению Oji     (удельный вес индикатора 2)</t>
  </si>
  <si>
    <t>Оценка качества по направлению Oji    (удельный вес индикатора 2)</t>
  </si>
  <si>
    <t>Оценка качества по направлению Oji    (удельный вес индикатора 1)</t>
  </si>
  <si>
    <t xml:space="preserve">Оценка качества по направлению Oji (сумма баллов 1.1-1.3) </t>
  </si>
  <si>
    <t>Оценка качества по направлению Oji (сумма баллов 2.1-2.3)</t>
  </si>
  <si>
    <t>Оценка качества по направлению Oji (баллы показателя  3.1)</t>
  </si>
  <si>
    <t>Оценка качества по направлению Oji (сумма балловв 4.1-4.4)</t>
  </si>
  <si>
    <t>Комплексная оценка качества  Oj (удельный вес направления 2)</t>
  </si>
  <si>
    <t xml:space="preserve">Комплексная оценка качества (общая сумма баллов) </t>
  </si>
  <si>
    <t>отклонение значений комплексной оценки качества от среднего арифметического значения</t>
  </si>
  <si>
    <t>II</t>
  </si>
  <si>
    <t>III</t>
  </si>
  <si>
    <t>I</t>
  </si>
  <si>
    <t>степень качества управления муниципальными финансами</t>
  </si>
  <si>
    <t>Индикаторы соблюдения бюджетного законодательства при осуществлении бюджетного процесса</t>
  </si>
  <si>
    <t>ПРИЛОЖЕНИЕ 2</t>
  </si>
  <si>
    <t>2А</t>
  </si>
  <si>
    <t>2В</t>
  </si>
  <si>
    <t>2С</t>
  </si>
  <si>
    <t>норма-тивное значе-ние</t>
  </si>
  <si>
    <t>&lt;=1,00</t>
  </si>
  <si>
    <t>1А</t>
  </si>
  <si>
    <t>1В</t>
  </si>
  <si>
    <t>1С</t>
  </si>
  <si>
    <t>отношение объема заимствований к сумме, напрвляемой на финансирование дефицита бюджета и (или) погашение долговых обязательств      1А / (1В + 1С)</t>
  </si>
  <si>
    <t>отношение объема  муниципального долга к общему годовому объему доходов, без учета объема безвозмездных поступлений   2А / (2В - 2С)</t>
  </si>
  <si>
    <t>общий годовой объем доходов</t>
  </si>
  <si>
    <t xml:space="preserve">объем безвозмездных поступлений   </t>
  </si>
  <si>
    <t>отношение объема расходов на обслуживание муниципального долга к объему расходов бюджета, за исключением объема расходов, которые осуществляются за счет субвенций, предоставляемых из областного бюджета  3А / (3В - 3С)</t>
  </si>
  <si>
    <t>3А</t>
  </si>
  <si>
    <t>3В</t>
  </si>
  <si>
    <t>3С</t>
  </si>
  <si>
    <t>&lt;=0,15</t>
  </si>
  <si>
    <t>объем расходов на обслуживание муниципального долга</t>
  </si>
  <si>
    <t xml:space="preserve">объем расходов </t>
  </si>
  <si>
    <t>объем расходов, которые осуществляются за счет субвенций, предоставляемых из областного бюджета</t>
  </si>
  <si>
    <t>&lt;=10,0%</t>
  </si>
  <si>
    <t>4A</t>
  </si>
  <si>
    <t>4B</t>
  </si>
  <si>
    <t>4C</t>
  </si>
  <si>
    <t>4D</t>
  </si>
  <si>
    <t>размер дефицита бюджета</t>
  </si>
  <si>
    <t>объем поступлений от продажи акций и иных форм участия в капитале, находящихся в собственности поселения, и снижения остатков средств на счетах по учету средств</t>
  </si>
  <si>
    <t>объем доходов</t>
  </si>
  <si>
    <t xml:space="preserve">отношение дефицита бюджета к общему годовому объему доходов бюджета, без учета объема безвозмездных поступлений      ((4А - 4В) / (4С - 4D)) * 100  </t>
  </si>
  <si>
    <t>объем безвозмездных поступлений</t>
  </si>
  <si>
    <t>5А</t>
  </si>
  <si>
    <t>5В</t>
  </si>
  <si>
    <t>утвержденный в установленном порядке норматив формирования расходов на оплату труда и (или) содержание органов местного самоуправления</t>
  </si>
  <si>
    <t>объем  муниципального долга на 01.01.2024</t>
  </si>
  <si>
    <t>расходы на содержание органов местного самоуправления</t>
  </si>
  <si>
    <t>5С</t>
  </si>
  <si>
    <t>отношение доли расходов на оплату труда муниципальных служащих и (или) содержание органов местного самоуправления к установленному нормативу формирования данных расходов       ((5В / 5А) * 100) / 5С</t>
  </si>
  <si>
    <t xml:space="preserve">доходы </t>
  </si>
  <si>
    <t>&gt; 1</t>
  </si>
  <si>
    <t>сумма, напрвленная в отчетном финансовом году на финансирование дефицита бюджета (план на отчетную дату)</t>
  </si>
  <si>
    <t>объем заимствований в отчетном финансовом году (план на отчетную дату)</t>
  </si>
  <si>
    <t>сумма, напрвленная в отчетном финансовом году на погашение долговых обязательств  (план на отчетную дату)</t>
  </si>
  <si>
    <t>нарушения БК</t>
  </si>
  <si>
    <t>Итого</t>
  </si>
  <si>
    <t>Рейтинг качества управления муниципальными финансами за 2023 год</t>
  </si>
  <si>
    <t>итоговая степень качества управления муниципальными финансами</t>
  </si>
  <si>
    <r>
      <t>Оценка качества по направле-нию O</t>
    </r>
    <r>
      <rPr>
        <sz val="9"/>
        <rFont val="Arial"/>
        <family val="2"/>
        <charset val="204"/>
      </rPr>
      <t>ji</t>
    </r>
    <r>
      <rPr>
        <sz val="10"/>
        <rFont val="Arial"/>
        <family val="2"/>
        <charset val="204"/>
      </rPr>
      <t xml:space="preserve"> (</t>
    </r>
    <r>
      <rPr>
        <sz val="11"/>
        <rFont val="Arial"/>
        <family val="2"/>
        <charset val="204"/>
      </rPr>
      <t>у</t>
    </r>
    <r>
      <rPr>
        <sz val="10"/>
        <rFont val="Arial"/>
        <family val="2"/>
        <charset val="204"/>
      </rPr>
      <t>дельный вес индикатора 2)</t>
    </r>
  </si>
  <si>
    <r>
      <t>U</t>
    </r>
    <r>
      <rPr>
        <sz val="8"/>
        <rFont val="Arial"/>
        <family val="2"/>
        <charset val="204"/>
      </rPr>
      <t xml:space="preserve">i - </t>
    </r>
    <r>
      <rPr>
        <sz val="9"/>
        <rFont val="Arial"/>
        <family val="2"/>
        <charset val="204"/>
      </rPr>
      <t>U</t>
    </r>
    <r>
      <rPr>
        <sz val="8"/>
        <rFont val="Arial"/>
        <family val="2"/>
        <charset val="204"/>
      </rPr>
      <t>min</t>
    </r>
  </si>
  <si>
    <r>
      <t>U</t>
    </r>
    <r>
      <rPr>
        <sz val="9"/>
        <rFont val="Arial"/>
        <family val="2"/>
        <charset val="204"/>
      </rPr>
      <t xml:space="preserve">max - </t>
    </r>
    <r>
      <rPr>
        <sz val="10"/>
        <rFont val="Arial"/>
        <family val="2"/>
        <charset val="204"/>
      </rPr>
      <t>U</t>
    </r>
    <r>
      <rPr>
        <sz val="9"/>
        <rFont val="Arial"/>
        <family val="2"/>
        <charset val="204"/>
      </rPr>
      <t>min</t>
    </r>
  </si>
  <si>
    <r>
      <t>Оценка значения индикатора E</t>
    </r>
    <r>
      <rPr>
        <sz val="9"/>
        <rFont val="Arial"/>
        <family val="2"/>
        <charset val="204"/>
      </rPr>
      <t>i</t>
    </r>
  </si>
  <si>
    <t>Веребьинское                                        сельское поселение</t>
  </si>
  <si>
    <t>Бургинское                                             сельское поселение</t>
  </si>
  <si>
    <t>Маловишерское                                    городское поселение</t>
  </si>
  <si>
    <t>Большевишерское                                   городское поселение</t>
  </si>
  <si>
    <t>БК1</t>
  </si>
  <si>
    <t>БК2</t>
  </si>
  <si>
    <t>БК3</t>
  </si>
  <si>
    <t>БК4</t>
  </si>
  <si>
    <t>БК5</t>
  </si>
  <si>
    <t>Крличество нарушений всего</t>
  </si>
  <si>
    <t>Количество нарушений без БК5</t>
  </si>
  <si>
    <t>4. Степень открытости бюджетных данных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</si>
</sst>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"/>
  </numFmts>
  <fonts count="13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0"/>
      <color indexed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0" xfId="0" applyFont="1"/>
    <xf numFmtId="0" fontId="0" fillId="0" borderId="1" xfId="0" applyFill="1" applyBorder="1" applyAlignment="1">
      <alignment horizontal="center"/>
    </xf>
    <xf numFmtId="0" fontId="0" fillId="0" borderId="0" xfId="0" applyBorder="1"/>
    <xf numFmtId="0" fontId="2" fillId="0" borderId="0" xfId="0" applyFont="1"/>
    <xf numFmtId="164" fontId="0" fillId="0" borderId="0" xfId="0" applyNumberFormat="1"/>
    <xf numFmtId="0" fontId="5" fillId="0" borderId="0" xfId="0" applyFont="1" applyBorder="1" applyAlignment="1">
      <alignment wrapText="1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0" fillId="0" borderId="0" xfId="0" applyNumberFormat="1"/>
    <xf numFmtId="0" fontId="1" fillId="0" borderId="1" xfId="0" applyFont="1" applyBorder="1" applyAlignment="1">
      <alignment wrapText="1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2" fontId="1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0" fontId="0" fillId="0" borderId="0" xfId="0" applyAlignment="1">
      <alignment wrapText="1"/>
    </xf>
    <xf numFmtId="164" fontId="2" fillId="0" borderId="0" xfId="0" applyNumberFormat="1" applyFont="1"/>
    <xf numFmtId="164" fontId="0" fillId="0" borderId="0" xfId="0" applyNumberFormat="1" applyBorder="1"/>
    <xf numFmtId="164" fontId="0" fillId="0" borderId="0" xfId="0" applyNumberFormat="1" applyAlignment="1">
      <alignment vertical="center"/>
    </xf>
    <xf numFmtId="164" fontId="2" fillId="0" borderId="0" xfId="0" applyNumberFormat="1" applyFont="1" applyFill="1"/>
    <xf numFmtId="164" fontId="0" fillId="0" borderId="0" xfId="0" applyNumberFormat="1" applyFill="1"/>
    <xf numFmtId="0" fontId="2" fillId="0" borderId="6" xfId="0" applyFont="1" applyBorder="1"/>
    <xf numFmtId="164" fontId="2" fillId="0" borderId="7" xfId="0" applyNumberFormat="1" applyFont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Border="1"/>
    <xf numFmtId="164" fontId="0" fillId="0" borderId="0" xfId="0" applyNumberFormat="1" applyFill="1" applyAlignment="1">
      <alignment vertical="center"/>
    </xf>
    <xf numFmtId="0" fontId="0" fillId="0" borderId="0" xfId="0" applyFill="1"/>
    <xf numFmtId="164" fontId="7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Border="1"/>
    <xf numFmtId="2" fontId="0" fillId="0" borderId="1" xfId="0" applyNumberForma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5" fillId="0" borderId="0" xfId="0" applyNumberFormat="1" applyFont="1"/>
    <xf numFmtId="4" fontId="2" fillId="3" borderId="1" xfId="0" applyNumberFormat="1" applyFont="1" applyFill="1" applyBorder="1" applyAlignment="1">
      <alignment wrapText="1"/>
    </xf>
    <xf numFmtId="4" fontId="5" fillId="3" borderId="1" xfId="0" applyNumberFormat="1" applyFont="1" applyFill="1" applyBorder="1"/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/>
    </xf>
    <xf numFmtId="4" fontId="5" fillId="7" borderId="1" xfId="0" applyNumberFormat="1" applyFont="1" applyFill="1" applyBorder="1" applyAlignment="1">
      <alignment wrapText="1"/>
    </xf>
    <xf numFmtId="4" fontId="5" fillId="7" borderId="1" xfId="0" applyNumberFormat="1" applyFont="1" applyFill="1" applyBorder="1"/>
    <xf numFmtId="4" fontId="5" fillId="0" borderId="1" xfId="0" applyNumberFormat="1" applyFont="1" applyFill="1" applyBorder="1"/>
    <xf numFmtId="4" fontId="5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4" fontId="2" fillId="7" borderId="1" xfId="0" applyNumberFormat="1" applyFont="1" applyFill="1" applyBorder="1" applyAlignment="1">
      <alignment wrapText="1"/>
    </xf>
    <xf numFmtId="49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 applyBorder="1"/>
    <xf numFmtId="4" fontId="5" fillId="0" borderId="0" xfId="0" applyNumberFormat="1" applyFont="1" applyBorder="1"/>
    <xf numFmtId="0" fontId="10" fillId="0" borderId="0" xfId="0" applyFont="1"/>
    <xf numFmtId="4" fontId="11" fillId="7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0" fontId="2" fillId="0" borderId="0" xfId="0" applyFont="1" applyBorder="1"/>
    <xf numFmtId="164" fontId="2" fillId="0" borderId="1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1" xfId="0" applyNumberFormat="1" applyFont="1" applyBorder="1"/>
    <xf numFmtId="2" fontId="2" fillId="0" borderId="1" xfId="0" applyNumberFormat="1" applyFont="1" applyFill="1" applyBorder="1"/>
    <xf numFmtId="2" fontId="2" fillId="0" borderId="0" xfId="0" applyNumberFormat="1" applyFont="1"/>
    <xf numFmtId="2" fontId="5" fillId="4" borderId="4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4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2" fontId="2" fillId="6" borderId="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Border="1"/>
    <xf numFmtId="0" fontId="2" fillId="4" borderId="1" xfId="0" applyFont="1" applyFill="1" applyBorder="1" applyAlignment="1">
      <alignment wrapText="1"/>
    </xf>
    <xf numFmtId="2" fontId="2" fillId="4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/>
    <xf numFmtId="164" fontId="2" fillId="4" borderId="1" xfId="0" applyNumberFormat="1" applyFont="1" applyFill="1" applyBorder="1" applyAlignment="1">
      <alignment horizontal="center"/>
    </xf>
    <xf numFmtId="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wrapText="1"/>
    </xf>
    <xf numFmtId="2" fontId="2" fillId="8" borderId="1" xfId="0" applyNumberFormat="1" applyFont="1" applyFill="1" applyBorder="1" applyAlignment="1">
      <alignment horizontal="center"/>
    </xf>
    <xf numFmtId="2" fontId="2" fillId="8" borderId="1" xfId="0" applyNumberFormat="1" applyFont="1" applyFill="1" applyBorder="1"/>
    <xf numFmtId="164" fontId="2" fillId="8" borderId="1" xfId="0" applyNumberFormat="1" applyFont="1" applyFill="1" applyBorder="1" applyAlignment="1">
      <alignment horizontal="center"/>
    </xf>
    <xf numFmtId="9" fontId="2" fillId="8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0" borderId="0" xfId="0" applyFont="1" applyFill="1"/>
    <xf numFmtId="4" fontId="2" fillId="3" borderId="1" xfId="0" applyNumberFormat="1" applyFont="1" applyFill="1" applyBorder="1"/>
    <xf numFmtId="4" fontId="2" fillId="7" borderId="1" xfId="0" applyNumberFormat="1" applyFont="1" applyFill="1" applyBorder="1"/>
    <xf numFmtId="4" fontId="2" fillId="0" borderId="1" xfId="0" applyNumberFormat="1" applyFont="1" applyBorder="1"/>
    <xf numFmtId="0" fontId="2" fillId="3" borderId="1" xfId="0" applyFont="1" applyFill="1" applyBorder="1"/>
    <xf numFmtId="4" fontId="2" fillId="0" borderId="5" xfId="0" applyNumberFormat="1" applyFont="1" applyBorder="1"/>
    <xf numFmtId="4" fontId="2" fillId="0" borderId="0" xfId="0" applyNumberFormat="1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1" fontId="2" fillId="0" borderId="0" xfId="0" applyNumberFormat="1" applyFont="1"/>
    <xf numFmtId="165" fontId="2" fillId="0" borderId="1" xfId="0" applyNumberFormat="1" applyFont="1" applyBorder="1"/>
    <xf numFmtId="165" fontId="2" fillId="0" borderId="5" xfId="0" applyNumberFormat="1" applyFont="1" applyBorder="1"/>
    <xf numFmtId="1" fontId="2" fillId="0" borderId="0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5" borderId="1" xfId="0" applyNumberFormat="1" applyFont="1" applyFill="1" applyBorder="1"/>
    <xf numFmtId="4" fontId="12" fillId="0" borderId="0" xfId="0" applyNumberFormat="1" applyFont="1"/>
    <xf numFmtId="0" fontId="2" fillId="5" borderId="0" xfId="0" applyFont="1" applyFill="1"/>
    <xf numFmtId="4" fontId="2" fillId="5" borderId="0" xfId="0" applyNumberFormat="1" applyFont="1" applyFill="1"/>
    <xf numFmtId="164" fontId="2" fillId="5" borderId="0" xfId="0" applyNumberFormat="1" applyFont="1" applyFill="1"/>
    <xf numFmtId="2" fontId="2" fillId="5" borderId="0" xfId="0" applyNumberFormat="1" applyFont="1" applyFill="1"/>
    <xf numFmtId="2" fontId="2" fillId="0" borderId="5" xfId="0" applyNumberFormat="1" applyFont="1" applyBorder="1"/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0" fontId="12" fillId="0" borderId="0" xfId="0" applyFont="1"/>
    <xf numFmtId="4" fontId="2" fillId="0" borderId="1" xfId="0" applyNumberFormat="1" applyFont="1" applyFill="1" applyBorder="1"/>
    <xf numFmtId="4" fontId="12" fillId="4" borderId="0" xfId="0" applyNumberFormat="1" applyFont="1" applyFill="1"/>
    <xf numFmtId="2" fontId="2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wrapText="1"/>
    </xf>
    <xf numFmtId="2" fontId="12" fillId="0" borderId="0" xfId="0" applyNumberFormat="1" applyFont="1"/>
    <xf numFmtId="2" fontId="3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4" xfId="0" applyFont="1" applyFill="1" applyBorder="1" applyAlignment="1"/>
    <xf numFmtId="0" fontId="2" fillId="0" borderId="6" xfId="0" applyFont="1" applyFill="1" applyBorder="1" applyAlignment="1">
      <alignment wrapText="1"/>
    </xf>
    <xf numFmtId="0" fontId="2" fillId="0" borderId="4" xfId="0" applyFont="1" applyBorder="1" applyAlignment="1"/>
    <xf numFmtId="0" fontId="2" fillId="6" borderId="6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FF"/>
      <color rgb="FF00FF00"/>
      <color rgb="FFFFFFCC"/>
      <color rgb="FFFFCCFF"/>
      <color rgb="FFCCFFCC"/>
      <color rgb="FF0000FF"/>
      <color rgb="FFCCFFFF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Оценка качества управления муниципальными финансами поселений Маловишерского муниципального района за 2023 год</a:t>
            </a:r>
          </a:p>
        </c:rich>
      </c:tx>
      <c:layout>
        <c:manualLayout>
          <c:xMode val="edge"/>
          <c:yMode val="edge"/>
          <c:x val="0.1468459152016546"/>
          <c:y val="2.0512820512820516E-2"/>
        </c:manualLayout>
      </c:layout>
      <c:spPr>
        <a:noFill/>
        <a:ln w="25400">
          <a:noFill/>
        </a:ln>
      </c:spPr>
    </c:title>
    <c:view3D>
      <c:rotX val="0"/>
      <c:hPercent val="55"/>
      <c:rotY val="1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FFFFFF"/>
          </a:solidFill>
          <a:prstDash val="solid"/>
        </a:ln>
      </c:spPr>
    </c:sideWall>
    <c:backWall>
      <c:spPr>
        <a:noFill/>
        <a:ln w="12700">
          <a:solidFill>
            <a:srgbClr val="FFFF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366541894615607"/>
          <c:y val="0.14235284555851888"/>
          <c:w val="0.62185453291968529"/>
          <c:h val="0.43931623931624075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1"/>
              <c:layout>
                <c:manualLayout>
                  <c:x val="-5.0556695063906435E-17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575" b="0" i="0" u="none" strike="noStrike" baseline="30000">
                        <a:solidFill>
                          <a:srgbClr val="000000"/>
                        </a:solidFill>
                        <a:latin typeface="Arial Cyr"/>
                        <a:ea typeface="Arial Cyr"/>
                        <a:cs typeface="Arial Cyr"/>
                      </a:defRPr>
                    </a:pPr>
                    <a:r>
                      <a:rPr lang="ru-RU"/>
                      <a:t>30,4</a:t>
                    </a:r>
                  </a:p>
                </c:rich>
              </c:tx>
              <c:numFmt formatCode="0.0" sourceLinked="0"/>
              <c:spPr>
                <a:noFill/>
                <a:ln w="25400">
                  <a:noFill/>
                </a:ln>
              </c:spPr>
              <c:extLst>
                <c:ext xmlns:c15="http://schemas.microsoft.com/office/drawing/2012/chart" uri="{CE6537A1-D6FC-4f65-9D91-7224C49458BB}"/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75" b="0" i="0" u="none" strike="noStrike" baseline="3000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'Баллы по порядку(для диаг)'!$A$3:$A$11</c:f>
              <c:strCache>
                <c:ptCount val="4"/>
                <c:pt idx="0">
                  <c:v>Веребьинское                                        сельское поселение</c:v>
                </c:pt>
                <c:pt idx="1">
                  <c:v>Бургинское                                             сельское поселение</c:v>
                </c:pt>
                <c:pt idx="2">
                  <c:v>Маловишерское                                    городское поселение</c:v>
                </c:pt>
                <c:pt idx="3">
                  <c:v>Большевишерское                                   городское поселение</c:v>
                </c:pt>
              </c:strCache>
            </c:strRef>
          </c:cat>
          <c:val>
            <c:numRef>
              <c:f>'Баллы по порядку(для диаг)'!$B$3:$B$11</c:f>
              <c:numCache>
                <c:formatCode>General</c:formatCode>
                <c:ptCount val="4"/>
                <c:pt idx="0">
                  <c:v>33.26</c:v>
                </c:pt>
                <c:pt idx="1">
                  <c:v>30.39</c:v>
                </c:pt>
                <c:pt idx="2" formatCode="0.00">
                  <c:v>28</c:v>
                </c:pt>
                <c:pt idx="3" formatCode="0.00">
                  <c:v>23.58</c:v>
                </c:pt>
              </c:numCache>
            </c:numRef>
          </c:val>
        </c:ser>
        <c:shape val="cylinder"/>
        <c:axId val="111185280"/>
        <c:axId val="111187072"/>
        <c:axId val="0"/>
      </c:bar3DChart>
      <c:catAx>
        <c:axId val="11118528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1187072"/>
        <c:crossesAt val="0"/>
        <c:auto val="1"/>
        <c:lblAlgn val="ctr"/>
        <c:lblOffset val="100"/>
        <c:tickLblSkip val="1"/>
        <c:tickMarkSkip val="1"/>
      </c:catAx>
      <c:valAx>
        <c:axId val="111187072"/>
        <c:scaling>
          <c:orientation val="minMax"/>
          <c:max val="3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11185280"/>
        <c:crosses val="autoZero"/>
        <c:crossBetween val="between"/>
        <c:majorUnit val="10"/>
        <c:minorUnit val="0.1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6" workbookViewId="0"/>
  </sheetViews>
  <pageMargins left="0.74803149606299213" right="0.74803149606299213" top="0.9055118110236221" bottom="0.3937007874015748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10116" y="168351"/>
    <xdr:ext cx="8452884" cy="569727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0.1285</cdr:x>
      <cdr:y>0.91875</cdr:y>
    </cdr:from>
    <cdr:to>
      <cdr:x>0.213</cdr:x>
      <cdr:y>1</cdr:y>
    </cdr:to>
    <cdr:sp macro="" textlink="">
      <cdr:nvSpPr>
        <cdr:cNvPr id="16385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1337358" y="4956819"/>
          <a:ext cx="456914" cy="773697"/>
        </a:xfrm>
        <a:prstGeom xmlns:a="http://schemas.openxmlformats.org/drawingml/2006/main" prst="leftBrace">
          <a:avLst>
            <a:gd name="adj1" fmla="val 42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0.22375</cdr:x>
      <cdr:y>0.83525</cdr:y>
    </cdr:from>
    <cdr:to>
      <cdr:x>0.2735</cdr:x>
      <cdr:y>0.85575</cdr:y>
    </cdr:to>
    <cdr:sp macro="" textlink="">
      <cdr:nvSpPr>
        <cdr:cNvPr id="16386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644366"/>
          <a:ext cx="460534" cy="115622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0.2335</cdr:x>
      <cdr:y>0.83525</cdr:y>
    </cdr:from>
    <cdr:to>
      <cdr:x>0.25025</cdr:x>
      <cdr:y>0.99875</cdr:y>
    </cdr:to>
    <cdr:sp macro="" textlink="">
      <cdr:nvSpPr>
        <cdr:cNvPr id="16387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48390" y="4644366"/>
          <a:ext cx="156581" cy="920794"/>
        </a:xfrm>
        <a:prstGeom xmlns:a="http://schemas.openxmlformats.org/drawingml/2006/main" prst="leftBrace">
          <a:avLst>
            <a:gd name="adj1" fmla="val 4900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0.22375</cdr:x>
      <cdr:y>0.83525</cdr:y>
    </cdr:from>
    <cdr:to>
      <cdr:x>0.25025</cdr:x>
      <cdr:y>0.85575</cdr:y>
    </cdr:to>
    <cdr:sp macro="" textlink="">
      <cdr:nvSpPr>
        <cdr:cNvPr id="16388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644366"/>
          <a:ext cx="248688" cy="115622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0.2025</cdr:x>
      <cdr:y>0.90375</cdr:y>
    </cdr:from>
    <cdr:to>
      <cdr:x>0.30275</cdr:x>
      <cdr:y>0.93025</cdr:y>
    </cdr:to>
    <cdr:sp macro="" textlink="">
      <cdr:nvSpPr>
        <cdr:cNvPr id="16389" name="AutoShape 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2250017" y="4643078"/>
          <a:ext cx="149054" cy="923370"/>
        </a:xfrm>
        <a:prstGeom xmlns:a="http://schemas.openxmlformats.org/drawingml/2006/main" prst="leftBrace">
          <a:avLst>
            <a:gd name="adj1" fmla="val 5162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0.203</cdr:x>
      <cdr:y>0.90375</cdr:y>
    </cdr:from>
    <cdr:to>
      <cdr:x>0.22425</cdr:x>
      <cdr:y>0.91975</cdr:y>
    </cdr:to>
    <cdr:sp macro="" textlink="">
      <cdr:nvSpPr>
        <cdr:cNvPr id="16390" name="AutoShape 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62859" y="5030236"/>
          <a:ext cx="193424" cy="90547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0.213</cdr:x>
      <cdr:y>0.836</cdr:y>
    </cdr:from>
    <cdr:to>
      <cdr:x>0.23</cdr:x>
      <cdr:y>1</cdr:y>
    </cdr:to>
    <cdr:sp macro="" textlink="">
      <cdr:nvSpPr>
        <cdr:cNvPr id="16391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52663" y="4973122"/>
          <a:ext cx="156582" cy="922186"/>
        </a:xfrm>
        <a:prstGeom xmlns:a="http://schemas.openxmlformats.org/drawingml/2006/main" prst="leftBrace">
          <a:avLst>
            <a:gd name="adj1" fmla="val 49079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0.83625</cdr:y>
    </cdr:from>
    <cdr:to>
      <cdr:x>0.2415</cdr:x>
      <cdr:y>1</cdr:y>
    </cdr:to>
    <cdr:sp macro="" textlink="">
      <cdr:nvSpPr>
        <cdr:cNvPr id="16392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883968"/>
          <a:ext cx="158884" cy="920793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0.83625</cdr:y>
    </cdr:from>
    <cdr:to>
      <cdr:x>0.2415</cdr:x>
      <cdr:y>1</cdr:y>
    </cdr:to>
    <cdr:sp macro="" textlink="">
      <cdr:nvSpPr>
        <cdr:cNvPr id="16393" name="AutoShape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883968"/>
          <a:ext cx="158884" cy="920793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0.203</cdr:x>
      <cdr:y>0.85575</cdr:y>
    </cdr:from>
    <cdr:to>
      <cdr:x>0.213</cdr:x>
      <cdr:y>0.96025</cdr:y>
    </cdr:to>
    <cdr:sp macro="" textlink="">
      <cdr:nvSpPr>
        <cdr:cNvPr id="16394" name="AutoShape 1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62859" y="4759988"/>
          <a:ext cx="89804" cy="589252"/>
        </a:xfrm>
        <a:prstGeom xmlns:a="http://schemas.openxmlformats.org/drawingml/2006/main" prst="leftBrace">
          <a:avLst>
            <a:gd name="adj1" fmla="val 54679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0.195</cdr:x>
      <cdr:y>0.79525</cdr:y>
    </cdr:from>
    <cdr:to>
      <cdr:x>0.23</cdr:x>
      <cdr:y>0.90375</cdr:y>
    </cdr:to>
    <cdr:sp macro="" textlink="">
      <cdr:nvSpPr>
        <cdr:cNvPr id="16395" name="AutoShape 1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786871" y="4421481"/>
          <a:ext cx="322374" cy="608755"/>
        </a:xfrm>
        <a:prstGeom xmlns:a="http://schemas.openxmlformats.org/drawingml/2006/main" prst="leftBrace">
          <a:avLst>
            <a:gd name="adj1" fmla="val 15736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0.1705</cdr:x>
      <cdr:y>0.876</cdr:y>
    </cdr:from>
    <cdr:to>
      <cdr:x>0.27075</cdr:x>
      <cdr:y>0.90375</cdr:y>
    </cdr:to>
    <cdr:sp macro="" textlink="">
      <cdr:nvSpPr>
        <cdr:cNvPr id="16396" name="AutoShape 12"/>
        <cdr:cNvSpPr>
          <a:spLocks xmlns:a="http://schemas.openxmlformats.org/drawingml/2006/main"/>
        </cdr:cNvSpPr>
      </cdr:nvSpPr>
      <cdr:spPr bwMode="auto">
        <a:xfrm xmlns:a="http://schemas.openxmlformats.org/drawingml/2006/main" rot="5400000">
          <a:off x="1952944" y="4489389"/>
          <a:ext cx="156020" cy="925673"/>
        </a:xfrm>
        <a:prstGeom xmlns:a="http://schemas.openxmlformats.org/drawingml/2006/main" prst="leftBrace">
          <a:avLst>
            <a:gd name="adj1" fmla="val 4944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0.213</cdr:x>
      <cdr:y>0.83625</cdr:y>
    </cdr:from>
    <cdr:to>
      <cdr:x>0.23</cdr:x>
      <cdr:y>1</cdr:y>
    </cdr:to>
    <cdr:sp macro="" textlink="">
      <cdr:nvSpPr>
        <cdr:cNvPr id="16397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52663" y="4883968"/>
          <a:ext cx="156582" cy="920793"/>
        </a:xfrm>
        <a:prstGeom xmlns:a="http://schemas.openxmlformats.org/drawingml/2006/main" prst="leftBrace">
          <a:avLst>
            <a:gd name="adj1" fmla="val 4900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0.213</cdr:x>
      <cdr:y>0.8775</cdr:y>
    </cdr:from>
    <cdr:to>
      <cdr:x>0.2415</cdr:x>
      <cdr:y>0.89375</cdr:y>
    </cdr:to>
    <cdr:sp macro="" textlink="">
      <cdr:nvSpPr>
        <cdr:cNvPr id="16398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52663" y="4883968"/>
          <a:ext cx="262504" cy="90547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0.213</cdr:x>
      <cdr:y>0.79525</cdr:y>
    </cdr:from>
    <cdr:to>
      <cdr:x>0.22425</cdr:x>
      <cdr:y>0.85575</cdr:y>
    </cdr:to>
    <cdr:sp macro="" textlink="">
      <cdr:nvSpPr>
        <cdr:cNvPr id="16399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52663" y="4421481"/>
          <a:ext cx="103620" cy="338507"/>
        </a:xfrm>
        <a:prstGeom xmlns:a="http://schemas.openxmlformats.org/drawingml/2006/main" prst="leftBrace">
          <a:avLst>
            <a:gd name="adj1" fmla="val 2722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0.1705</cdr:x>
      <cdr:y>0.86325</cdr:y>
    </cdr:from>
    <cdr:to>
      <cdr:x>0.27075</cdr:x>
      <cdr:y>0.89075</cdr:y>
    </cdr:to>
    <cdr:sp macro="" textlink="">
      <cdr:nvSpPr>
        <cdr:cNvPr id="16400" name="AutoShape 16"/>
        <cdr:cNvSpPr>
          <a:spLocks xmlns:a="http://schemas.openxmlformats.org/drawingml/2006/main"/>
        </cdr:cNvSpPr>
      </cdr:nvSpPr>
      <cdr:spPr bwMode="auto">
        <a:xfrm xmlns:a="http://schemas.openxmlformats.org/drawingml/2006/main" rot="6480000">
          <a:off x="1954337" y="4416952"/>
          <a:ext cx="153233" cy="925673"/>
        </a:xfrm>
        <a:prstGeom xmlns:a="http://schemas.openxmlformats.org/drawingml/2006/main" prst="leftBrace">
          <a:avLst>
            <a:gd name="adj1" fmla="val 50341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0.83525</cdr:y>
    </cdr:from>
    <cdr:to>
      <cdr:x>0.235</cdr:x>
      <cdr:y>0.85575</cdr:y>
    </cdr:to>
    <cdr:sp macro="" textlink="">
      <cdr:nvSpPr>
        <cdr:cNvPr id="16401" name="AutoShape 1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644366"/>
          <a:ext cx="99015" cy="115622"/>
        </a:xfrm>
        <a:prstGeom xmlns:a="http://schemas.openxmlformats.org/drawingml/2006/main" prst="leftBrace">
          <a:avLst>
            <a:gd name="adj1" fmla="val 9731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0.83525</cdr:y>
    </cdr:from>
    <cdr:to>
      <cdr:x>0.235</cdr:x>
      <cdr:y>0.85575</cdr:y>
    </cdr:to>
    <cdr:sp macro="" textlink="">
      <cdr:nvSpPr>
        <cdr:cNvPr id="16402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644366"/>
          <a:ext cx="99015" cy="115622"/>
        </a:xfrm>
        <a:prstGeom xmlns:a="http://schemas.openxmlformats.org/drawingml/2006/main" prst="leftBrace">
          <a:avLst>
            <a:gd name="adj1" fmla="val 9731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0.83525</cdr:y>
    </cdr:from>
    <cdr:to>
      <cdr:x>0.2415</cdr:x>
      <cdr:y>0.99875</cdr:y>
    </cdr:to>
    <cdr:sp macro="" textlink="">
      <cdr:nvSpPr>
        <cdr:cNvPr id="16403" name="AutoShape 1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644366"/>
          <a:ext cx="158884" cy="920794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0.83525</cdr:y>
    </cdr:from>
    <cdr:to>
      <cdr:x>0.2415</cdr:x>
      <cdr:y>0.99875</cdr:y>
    </cdr:to>
    <cdr:sp macro="" textlink="">
      <cdr:nvSpPr>
        <cdr:cNvPr id="16404" name="AutoShape 2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644366"/>
          <a:ext cx="158884" cy="920794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0.33125</cdr:x>
      <cdr:y>0.8175</cdr:y>
    </cdr:from>
    <cdr:to>
      <cdr:x>0.38275</cdr:x>
      <cdr:y>0.83975</cdr:y>
    </cdr:to>
    <cdr:sp macro="" textlink="">
      <cdr:nvSpPr>
        <cdr:cNvPr id="16405" name="AutoShape 2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3048733" y="4545461"/>
          <a:ext cx="474350" cy="123980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0.0695</cdr:x>
      <cdr:y>0.79525</cdr:y>
    </cdr:from>
    <cdr:to>
      <cdr:x>0.33375</cdr:x>
      <cdr:y>0.812</cdr:y>
    </cdr:to>
    <cdr:sp macro="" textlink="">
      <cdr:nvSpPr>
        <cdr:cNvPr id="16406" name="AutoShape 2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42445" y="4421481"/>
          <a:ext cx="2429315" cy="90547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0.203</cdr:x>
      <cdr:y>0.79525</cdr:y>
    </cdr:from>
    <cdr:to>
      <cdr:x>0.25875</cdr:x>
      <cdr:y>0.8115</cdr:y>
    </cdr:to>
    <cdr:sp macro="" textlink="">
      <cdr:nvSpPr>
        <cdr:cNvPr id="16407" name="AutoShape 2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62859" y="4421481"/>
          <a:ext cx="511192" cy="90547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0.81075</cdr:y>
    </cdr:from>
    <cdr:to>
      <cdr:x>0.2355</cdr:x>
      <cdr:y>0.975</cdr:y>
    </cdr:to>
    <cdr:sp macro="" textlink="">
      <cdr:nvSpPr>
        <cdr:cNvPr id="16408" name="AutoShape 2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507849"/>
          <a:ext cx="149674" cy="923580"/>
        </a:xfrm>
        <a:prstGeom xmlns:a="http://schemas.openxmlformats.org/drawingml/2006/main" prst="leftBrace">
          <a:avLst>
            <a:gd name="adj1" fmla="val 5142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0.83625</cdr:y>
    </cdr:from>
    <cdr:to>
      <cdr:x>0.2355</cdr:x>
      <cdr:y>1</cdr:y>
    </cdr:to>
    <cdr:sp macro="" textlink="">
      <cdr:nvSpPr>
        <cdr:cNvPr id="16409" name="AutoShape 2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5030236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0.83625</cdr:y>
    </cdr:from>
    <cdr:to>
      <cdr:x>0.2355</cdr:x>
      <cdr:y>1</cdr:y>
    </cdr:to>
    <cdr:sp macro="" textlink="">
      <cdr:nvSpPr>
        <cdr:cNvPr id="16410" name="AutoShape 2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973122"/>
          <a:ext cx="149674" cy="922186"/>
        </a:xfrm>
        <a:prstGeom xmlns:a="http://schemas.openxmlformats.org/drawingml/2006/main" prst="leftBrace">
          <a:avLst>
            <a:gd name="adj1" fmla="val 5134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0.83625</cdr:y>
    </cdr:from>
    <cdr:to>
      <cdr:x>0.2355</cdr:x>
      <cdr:y>1</cdr:y>
    </cdr:to>
    <cdr:sp macro="" textlink="">
      <cdr:nvSpPr>
        <cdr:cNvPr id="16411" name="AutoShape 2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973122"/>
          <a:ext cx="149674" cy="922186"/>
        </a:xfrm>
        <a:prstGeom xmlns:a="http://schemas.openxmlformats.org/drawingml/2006/main" prst="leftBrace">
          <a:avLst>
            <a:gd name="adj1" fmla="val 5134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0.83625</cdr:y>
    </cdr:from>
    <cdr:to>
      <cdr:x>0.2355</cdr:x>
      <cdr:y>1</cdr:y>
    </cdr:to>
    <cdr:sp macro="" textlink="">
      <cdr:nvSpPr>
        <cdr:cNvPr id="16412" name="AutoShape 2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973122"/>
          <a:ext cx="149674" cy="922186"/>
        </a:xfrm>
        <a:prstGeom xmlns:a="http://schemas.openxmlformats.org/drawingml/2006/main" prst="leftBrace">
          <a:avLst>
            <a:gd name="adj1" fmla="val 5134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0.8365</cdr:y>
    </cdr:from>
    <cdr:to>
      <cdr:x>0.2355</cdr:x>
      <cdr:y>1</cdr:y>
    </cdr:to>
    <cdr:sp macro="" textlink="">
      <cdr:nvSpPr>
        <cdr:cNvPr id="16413" name="AutoShape 2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956405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0.8365</cdr:y>
    </cdr:from>
    <cdr:to>
      <cdr:x>0.2355</cdr:x>
      <cdr:y>1</cdr:y>
    </cdr:to>
    <cdr:sp macro="" textlink="">
      <cdr:nvSpPr>
        <cdr:cNvPr id="16414" name="AutoShape 3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956405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0.2095</cdr:x>
      <cdr:y>0.7825</cdr:y>
    </cdr:from>
    <cdr:to>
      <cdr:x>0.21975</cdr:x>
      <cdr:y>0.89075</cdr:y>
    </cdr:to>
    <cdr:sp macro="" textlink="">
      <cdr:nvSpPr>
        <cdr:cNvPr id="16415" name="AutoShape 3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22728" y="4347651"/>
          <a:ext cx="96712" cy="608754"/>
        </a:xfrm>
        <a:prstGeom xmlns:a="http://schemas.openxmlformats.org/drawingml/2006/main" prst="leftBrace">
          <a:avLst>
            <a:gd name="adj1" fmla="val 5245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0.21025</cdr:x>
      <cdr:y>0.7825</cdr:y>
    </cdr:from>
    <cdr:to>
      <cdr:x>0.24625</cdr:x>
      <cdr:y>0.83525</cdr:y>
    </cdr:to>
    <cdr:sp macro="" textlink="">
      <cdr:nvSpPr>
        <cdr:cNvPr id="16416" name="AutoShape 3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29636" y="4347651"/>
          <a:ext cx="331585" cy="296715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</cdr:x>
      <cdr:y>0.813</cdr:y>
    </cdr:from>
    <cdr:to>
      <cdr:x>0.24625</cdr:x>
      <cdr:y>0.9765</cdr:y>
    </cdr:to>
    <cdr:sp macro="" textlink="">
      <cdr:nvSpPr>
        <cdr:cNvPr id="16417" name="AutoShape 3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09245" y="4520386"/>
          <a:ext cx="151976" cy="919401"/>
        </a:xfrm>
        <a:prstGeom xmlns:a="http://schemas.openxmlformats.org/drawingml/2006/main" prst="leftBrace">
          <a:avLst>
            <a:gd name="adj1" fmla="val 5041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0.2355</cdr:x>
      <cdr:y>0.81075</cdr:y>
    </cdr:from>
    <cdr:to>
      <cdr:x>0.252</cdr:x>
      <cdr:y>0.975</cdr:y>
    </cdr:to>
    <cdr:sp macro="" textlink="">
      <cdr:nvSpPr>
        <cdr:cNvPr id="16418" name="AutoShape 3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69114" y="4507849"/>
          <a:ext cx="151976" cy="923580"/>
        </a:xfrm>
        <a:prstGeom xmlns:a="http://schemas.openxmlformats.org/drawingml/2006/main" prst="leftBrace">
          <a:avLst>
            <a:gd name="adj1" fmla="val 5064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0.2355</cdr:x>
      <cdr:y>0.81075</cdr:y>
    </cdr:from>
    <cdr:to>
      <cdr:x>0.252</cdr:x>
      <cdr:y>0.975</cdr:y>
    </cdr:to>
    <cdr:sp macro="" textlink="">
      <cdr:nvSpPr>
        <cdr:cNvPr id="16419" name="AutoShape 3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69114" y="4507849"/>
          <a:ext cx="151976" cy="923580"/>
        </a:xfrm>
        <a:prstGeom xmlns:a="http://schemas.openxmlformats.org/drawingml/2006/main" prst="leftBrace">
          <a:avLst>
            <a:gd name="adj1" fmla="val 5064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0.2355</cdr:x>
      <cdr:y>0.81075</cdr:y>
    </cdr:from>
    <cdr:to>
      <cdr:x>0.252</cdr:x>
      <cdr:y>0.975</cdr:y>
    </cdr:to>
    <cdr:sp macro="" textlink="">
      <cdr:nvSpPr>
        <cdr:cNvPr id="16420" name="AutoShape 3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69114" y="4507849"/>
          <a:ext cx="151976" cy="923580"/>
        </a:xfrm>
        <a:prstGeom xmlns:a="http://schemas.openxmlformats.org/drawingml/2006/main" prst="leftBrace">
          <a:avLst>
            <a:gd name="adj1" fmla="val 5064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0.2355</cdr:x>
      <cdr:y>0.81075</cdr:y>
    </cdr:from>
    <cdr:to>
      <cdr:x>0.252</cdr:x>
      <cdr:y>0.975</cdr:y>
    </cdr:to>
    <cdr:sp macro="" textlink="">
      <cdr:nvSpPr>
        <cdr:cNvPr id="16421" name="AutoShape 3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69114" y="4507849"/>
          <a:ext cx="151976" cy="923580"/>
        </a:xfrm>
        <a:prstGeom xmlns:a="http://schemas.openxmlformats.org/drawingml/2006/main" prst="leftBrace">
          <a:avLst>
            <a:gd name="adj1" fmla="val 5064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0.79525</cdr:y>
    </cdr:from>
    <cdr:to>
      <cdr:x>0.27075</cdr:x>
      <cdr:y>0.813</cdr:y>
    </cdr:to>
    <cdr:sp macro="" textlink="">
      <cdr:nvSpPr>
        <cdr:cNvPr id="16422" name="AutoShape 3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421481"/>
          <a:ext cx="474350" cy="98905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0.2415</cdr:x>
      <cdr:y>0.81075</cdr:y>
    </cdr:from>
    <cdr:to>
      <cdr:x>0.25875</cdr:x>
      <cdr:y>0.975</cdr:y>
    </cdr:to>
    <cdr:sp macro="" textlink="">
      <cdr:nvSpPr>
        <cdr:cNvPr id="16423" name="AutoShape 39"/>
        <cdr:cNvSpPr>
          <a:spLocks xmlns:a="http://schemas.openxmlformats.org/drawingml/2006/main"/>
        </cdr:cNvSpPr>
      </cdr:nvSpPr>
      <cdr:spPr bwMode="auto">
        <a:xfrm xmlns:a="http://schemas.openxmlformats.org/drawingml/2006/main" rot="11400000">
          <a:off x="2215167" y="4507849"/>
          <a:ext cx="158884" cy="923580"/>
        </a:xfrm>
        <a:prstGeom xmlns:a="http://schemas.openxmlformats.org/drawingml/2006/main" prst="leftBrace">
          <a:avLst>
            <a:gd name="adj1" fmla="val 48441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0.24625</cdr:x>
      <cdr:y>0.83625</cdr:y>
    </cdr:from>
    <cdr:to>
      <cdr:x>0.26275</cdr:x>
      <cdr:y>1</cdr:y>
    </cdr:to>
    <cdr:sp macro="" textlink="">
      <cdr:nvSpPr>
        <cdr:cNvPr id="16424" name="AutoShape 4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1221" y="4883968"/>
          <a:ext cx="149673" cy="920793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0.26225</cdr:x>
      <cdr:y>0.83625</cdr:y>
    </cdr:from>
    <cdr:to>
      <cdr:x>0.278</cdr:x>
      <cdr:y>1</cdr:y>
    </cdr:to>
    <cdr:sp macro="" textlink="">
      <cdr:nvSpPr>
        <cdr:cNvPr id="16425" name="AutoShape 4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10894" y="4883968"/>
          <a:ext cx="149674" cy="920793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0.26225</cdr:x>
      <cdr:y>0.83625</cdr:y>
    </cdr:from>
    <cdr:to>
      <cdr:x>0.278</cdr:x>
      <cdr:y>1</cdr:y>
    </cdr:to>
    <cdr:sp macro="" textlink="">
      <cdr:nvSpPr>
        <cdr:cNvPr id="16426" name="AutoShape 4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10894" y="4883968"/>
          <a:ext cx="149674" cy="920793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0.26225</cdr:x>
      <cdr:y>0.83625</cdr:y>
    </cdr:from>
    <cdr:to>
      <cdr:x>0.278</cdr:x>
      <cdr:y>1</cdr:y>
    </cdr:to>
    <cdr:sp macro="" textlink="">
      <cdr:nvSpPr>
        <cdr:cNvPr id="16427" name="AutoShape 4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10894" y="4883968"/>
          <a:ext cx="149674" cy="920793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0.26225</cdr:x>
      <cdr:y>0.83625</cdr:y>
    </cdr:from>
    <cdr:to>
      <cdr:x>0.278</cdr:x>
      <cdr:y>1</cdr:y>
    </cdr:to>
    <cdr:sp macro="" textlink="">
      <cdr:nvSpPr>
        <cdr:cNvPr id="16428" name="AutoShape 4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10894" y="4883968"/>
          <a:ext cx="149674" cy="920793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0.26225</cdr:x>
      <cdr:y>0.83625</cdr:y>
    </cdr:from>
    <cdr:to>
      <cdr:x>0.278</cdr:x>
      <cdr:y>1</cdr:y>
    </cdr:to>
    <cdr:sp macro="" textlink="">
      <cdr:nvSpPr>
        <cdr:cNvPr id="16429" name="AutoShape 4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10894" y="4883968"/>
          <a:ext cx="149674" cy="920793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0.21225</cdr:x>
      <cdr:y>0.79525</cdr:y>
    </cdr:from>
    <cdr:to>
      <cdr:x>0.252</cdr:x>
      <cdr:y>0.96025</cdr:y>
    </cdr:to>
    <cdr:sp macro="" textlink="">
      <cdr:nvSpPr>
        <cdr:cNvPr id="16430" name="AutoShape 4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52663" y="4421481"/>
          <a:ext cx="368427" cy="927759"/>
        </a:xfrm>
        <a:prstGeom xmlns:a="http://schemas.openxmlformats.org/drawingml/2006/main" prst="leftBrace">
          <a:avLst>
            <a:gd name="adj1" fmla="val 2098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0.21975</cdr:x>
      <cdr:y>0.7825</cdr:y>
    </cdr:from>
    <cdr:to>
      <cdr:x>0.25775</cdr:x>
      <cdr:y>0.91875</cdr:y>
    </cdr:to>
    <cdr:sp macro="" textlink="">
      <cdr:nvSpPr>
        <cdr:cNvPr id="16431" name="AutoShape 4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347651"/>
          <a:ext cx="345401" cy="767560"/>
        </a:xfrm>
        <a:prstGeom xmlns:a="http://schemas.openxmlformats.org/drawingml/2006/main" prst="leftBrace">
          <a:avLst>
            <a:gd name="adj1" fmla="val 18519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0.24625</cdr:x>
      <cdr:y>0.79525</cdr:y>
    </cdr:from>
    <cdr:to>
      <cdr:x>0.26275</cdr:x>
      <cdr:y>0.95925</cdr:y>
    </cdr:to>
    <cdr:sp macro="" textlink="">
      <cdr:nvSpPr>
        <cdr:cNvPr id="16432" name="AutoShape 4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1221" y="4421481"/>
          <a:ext cx="149673" cy="922187"/>
        </a:xfrm>
        <a:prstGeom xmlns:a="http://schemas.openxmlformats.org/drawingml/2006/main" prst="leftBrace">
          <a:avLst>
            <a:gd name="adj1" fmla="val 5134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0.24625</cdr:x>
      <cdr:y>0.79525</cdr:y>
    </cdr:from>
    <cdr:to>
      <cdr:x>0.26275</cdr:x>
      <cdr:y>0.95925</cdr:y>
    </cdr:to>
    <cdr:sp macro="" textlink="" fLocksText="0">
      <cdr:nvSpPr>
        <cdr:cNvPr id="16433" name="AutoShape 4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1221" y="4421481"/>
          <a:ext cx="149673" cy="922187"/>
        </a:xfrm>
        <a:prstGeom xmlns:a="http://schemas.openxmlformats.org/drawingml/2006/main" prst="leftBrace">
          <a:avLst>
            <a:gd name="adj1" fmla="val 5134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0.2355</cdr:x>
      <cdr:y>0.79525</cdr:y>
    </cdr:from>
    <cdr:to>
      <cdr:x>0.246</cdr:x>
      <cdr:y>0.812</cdr:y>
    </cdr:to>
    <cdr:sp macro="" textlink="">
      <cdr:nvSpPr>
        <cdr:cNvPr id="16434" name="AutoShape 5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69114" y="4421481"/>
          <a:ext cx="92107" cy="90547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0.2355</cdr:x>
      <cdr:y>0.79525</cdr:y>
    </cdr:from>
    <cdr:to>
      <cdr:x>0.252</cdr:x>
      <cdr:y>0.95925</cdr:y>
    </cdr:to>
    <cdr:sp macro="" textlink="">
      <cdr:nvSpPr>
        <cdr:cNvPr id="16435" name="AutoShape 51"/>
        <cdr:cNvSpPr>
          <a:spLocks xmlns:a="http://schemas.openxmlformats.org/drawingml/2006/main"/>
        </cdr:cNvSpPr>
      </cdr:nvSpPr>
      <cdr:spPr bwMode="auto">
        <a:xfrm xmlns:a="http://schemas.openxmlformats.org/drawingml/2006/main" rot="10800000">
          <a:off x="2169114" y="4421481"/>
          <a:ext cx="151976" cy="922187"/>
        </a:xfrm>
        <a:prstGeom xmlns:a="http://schemas.openxmlformats.org/drawingml/2006/main" prst="leftBrace">
          <a:avLst>
            <a:gd name="adj1" fmla="val 50566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0.24625</cdr:x>
      <cdr:y>0.83625</cdr:y>
    </cdr:from>
    <cdr:to>
      <cdr:x>0.26275</cdr:x>
      <cdr:y>1</cdr:y>
    </cdr:to>
    <cdr:sp macro="" textlink="">
      <cdr:nvSpPr>
        <cdr:cNvPr id="16436" name="AutoShape 5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1221" y="4759988"/>
          <a:ext cx="149673" cy="920793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0.27075</cdr:x>
      <cdr:y>0.83625</cdr:y>
    </cdr:from>
    <cdr:to>
      <cdr:x>0.28725</cdr:x>
      <cdr:y>1</cdr:y>
    </cdr:to>
    <cdr:sp macro="" textlink="">
      <cdr:nvSpPr>
        <cdr:cNvPr id="16437" name="AutoShape 5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93790" y="4874216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0.27075</cdr:x>
      <cdr:y>0.83625</cdr:y>
    </cdr:from>
    <cdr:to>
      <cdr:x>0.28725</cdr:x>
      <cdr:y>1</cdr:y>
    </cdr:to>
    <cdr:sp macro="" textlink="">
      <cdr:nvSpPr>
        <cdr:cNvPr id="16438" name="AutoShape 5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93790" y="4874216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0.16375</cdr:x>
      <cdr:y>0.77525</cdr:y>
    </cdr:from>
    <cdr:to>
      <cdr:x>0.27075</cdr:x>
      <cdr:y>0.85575</cdr:y>
    </cdr:to>
    <cdr:sp macro="" textlink="">
      <cdr:nvSpPr>
        <cdr:cNvPr id="16439" name="AutoShape 5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508248" y="4305860"/>
          <a:ext cx="985542" cy="454128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0.16425</cdr:x>
      <cdr:y>0.7825</cdr:y>
    </cdr:from>
    <cdr:to>
      <cdr:x>0.2415</cdr:x>
      <cdr:y>0.8245</cdr:y>
    </cdr:to>
    <cdr:sp macro="" textlink="">
      <cdr:nvSpPr>
        <cdr:cNvPr id="16440" name="AutoShape 5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508248" y="4347651"/>
          <a:ext cx="706919" cy="235422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0.203</cdr:x>
      <cdr:y>0.7825</cdr:y>
    </cdr:from>
    <cdr:to>
      <cdr:x>0.21975</cdr:x>
      <cdr:y>0.94575</cdr:y>
    </cdr:to>
    <cdr:sp macro="" textlink="">
      <cdr:nvSpPr>
        <cdr:cNvPr id="16441" name="AutoShape 5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62859" y="4347651"/>
          <a:ext cx="156581" cy="919400"/>
        </a:xfrm>
        <a:prstGeom xmlns:a="http://schemas.openxmlformats.org/drawingml/2006/main" prst="leftBrace">
          <a:avLst>
            <a:gd name="adj1" fmla="val 48931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0.1695</cdr:x>
      <cdr:y>0.918</cdr:y>
    </cdr:from>
    <cdr:to>
      <cdr:x>0.25275</cdr:x>
      <cdr:y>0.94575</cdr:y>
    </cdr:to>
    <cdr:sp macro="" textlink="">
      <cdr:nvSpPr>
        <cdr:cNvPr id="16442" name="AutoShape 58"/>
        <cdr:cNvSpPr>
          <a:spLocks xmlns:a="http://schemas.openxmlformats.org/drawingml/2006/main"/>
        </cdr:cNvSpPr>
      </cdr:nvSpPr>
      <cdr:spPr bwMode="auto">
        <a:xfrm xmlns:a="http://schemas.openxmlformats.org/drawingml/2006/main" rot="5400000">
          <a:off x="1866594" y="4805647"/>
          <a:ext cx="156019" cy="766789"/>
        </a:xfrm>
        <a:prstGeom xmlns:a="http://schemas.openxmlformats.org/drawingml/2006/main" prst="leftBrace">
          <a:avLst>
            <a:gd name="adj1" fmla="val 40956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0.83625</cdr:y>
    </cdr:from>
    <cdr:to>
      <cdr:x>0.2415</cdr:x>
      <cdr:y>1</cdr:y>
    </cdr:to>
    <cdr:sp macro="" textlink="">
      <cdr:nvSpPr>
        <cdr:cNvPr id="16443" name="AutoShape 5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5030236"/>
          <a:ext cx="158884" cy="920794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0.83625</cdr:y>
    </cdr:from>
    <cdr:to>
      <cdr:x>0.2415</cdr:x>
      <cdr:y>1</cdr:y>
    </cdr:to>
    <cdr:sp macro="" textlink="">
      <cdr:nvSpPr>
        <cdr:cNvPr id="16444" name="AutoShape 6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5030236"/>
          <a:ext cx="158884" cy="920794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0.22425</cdr:x>
      <cdr:y>0.7825</cdr:y>
    </cdr:from>
    <cdr:to>
      <cdr:x>0.25875</cdr:x>
      <cdr:y>0.85575</cdr:y>
    </cdr:to>
    <cdr:sp macro="" textlink="">
      <cdr:nvSpPr>
        <cdr:cNvPr id="16445" name="AutoShape 6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56283" y="4347651"/>
          <a:ext cx="317768" cy="412337"/>
        </a:xfrm>
        <a:prstGeom xmlns:a="http://schemas.openxmlformats.org/drawingml/2006/main" prst="leftBrace">
          <a:avLst>
            <a:gd name="adj1" fmla="val 1081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</cdr:x>
      <cdr:y>0.758</cdr:y>
    </cdr:from>
    <cdr:to>
      <cdr:x>0.2415</cdr:x>
      <cdr:y>0.7825</cdr:y>
    </cdr:to>
    <cdr:sp macro="" textlink="">
      <cdr:nvSpPr>
        <cdr:cNvPr id="16446" name="AutoShape 6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09245" y="4211133"/>
          <a:ext cx="105922" cy="136518"/>
        </a:xfrm>
        <a:prstGeom xmlns:a="http://schemas.openxmlformats.org/drawingml/2006/main" prst="leftBrace">
          <a:avLst>
            <a:gd name="adj1" fmla="val 10740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0.22475</cdr:x>
      <cdr:y>0.758</cdr:y>
    </cdr:from>
    <cdr:to>
      <cdr:x>0.278</cdr:x>
      <cdr:y>0.876</cdr:y>
    </cdr:to>
    <cdr:sp macro="" textlink="">
      <cdr:nvSpPr>
        <cdr:cNvPr id="16447" name="AutoShape 6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65494" y="4211133"/>
          <a:ext cx="495074" cy="663083"/>
        </a:xfrm>
        <a:prstGeom xmlns:a="http://schemas.openxmlformats.org/drawingml/2006/main" prst="leftBrace">
          <a:avLst>
            <a:gd name="adj1" fmla="val 11161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0.27525</cdr:x>
      <cdr:y>0.76775</cdr:y>
    </cdr:from>
    <cdr:to>
      <cdr:x>0.29125</cdr:x>
      <cdr:y>0.93075</cdr:y>
    </cdr:to>
    <cdr:sp macro="" textlink="">
      <cdr:nvSpPr>
        <cdr:cNvPr id="16448" name="AutoShape 6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30633" y="4265462"/>
          <a:ext cx="149673" cy="916614"/>
        </a:xfrm>
        <a:prstGeom xmlns:a="http://schemas.openxmlformats.org/drawingml/2006/main" prst="leftBrace">
          <a:avLst>
            <a:gd name="adj1" fmla="val 5103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0.26225</cdr:x>
      <cdr:y>0.83525</cdr:y>
    </cdr:from>
    <cdr:to>
      <cdr:x>0.278</cdr:x>
      <cdr:y>0.99875</cdr:y>
    </cdr:to>
    <cdr:sp macro="" textlink="">
      <cdr:nvSpPr>
        <cdr:cNvPr id="16449" name="AutoShape 6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10894" y="4644366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0.26225</cdr:x>
      <cdr:y>0.83525</cdr:y>
    </cdr:from>
    <cdr:to>
      <cdr:x>0.278</cdr:x>
      <cdr:y>0.99875</cdr:y>
    </cdr:to>
    <cdr:sp macro="" textlink="">
      <cdr:nvSpPr>
        <cdr:cNvPr id="16450" name="AutoShape 6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10894" y="4644366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0.25025</cdr:x>
      <cdr:y>0.83525</cdr:y>
    </cdr:from>
    <cdr:to>
      <cdr:x>0.2665</cdr:x>
      <cdr:y>0.99875</cdr:y>
    </cdr:to>
    <cdr:sp macro="" textlink="">
      <cdr:nvSpPr>
        <cdr:cNvPr id="16451" name="AutoShape 6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04971" y="4644366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0.25025</cdr:x>
      <cdr:y>0.83525</cdr:y>
    </cdr:from>
    <cdr:to>
      <cdr:x>0.2665</cdr:x>
      <cdr:y>0.99875</cdr:y>
    </cdr:to>
    <cdr:sp macro="" textlink="">
      <cdr:nvSpPr>
        <cdr:cNvPr id="16452" name="AutoShape 6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04971" y="4644366"/>
          <a:ext cx="149674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0.01675</cdr:x>
      <cdr:y>0.17725</cdr:y>
    </cdr:to>
    <cdr:sp macro="" textlink="">
      <cdr:nvSpPr>
        <cdr:cNvPr id="16453" name="AutoShape 6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0" y="0"/>
          <a:ext cx="154279" cy="837212"/>
        </a:xfrm>
        <a:prstGeom xmlns:a="http://schemas.openxmlformats.org/drawingml/2006/main" prst="leftBrace">
          <a:avLst>
            <a:gd name="adj1" fmla="val 4522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0.76313</cdr:x>
      <cdr:y>0.84603</cdr:y>
    </cdr:from>
    <cdr:to>
      <cdr:x>0.90147</cdr:x>
      <cdr:y>0.90824</cdr:y>
    </cdr:to>
    <cdr:sp macro="" textlink="">
      <cdr:nvSpPr>
        <cdr:cNvPr id="36409" name="AutoShape 70"/>
        <cdr:cNvSpPr>
          <a:spLocks xmlns:a="http://schemas.openxmlformats.org/drawingml/2006/main"/>
        </cdr:cNvSpPr>
      </cdr:nvSpPr>
      <cdr:spPr bwMode="auto">
        <a:xfrm xmlns:a="http://schemas.openxmlformats.org/drawingml/2006/main" rot="-5400000">
          <a:off x="6858125" y="4412633"/>
          <a:ext cx="354420" cy="1169332"/>
        </a:xfrm>
        <a:prstGeom xmlns:a="http://schemas.openxmlformats.org/drawingml/2006/main" prst="leftBrace">
          <a:avLst>
            <a:gd name="adj1" fmla="val 42631"/>
            <a:gd name="adj2" fmla="val 4799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0.2415</cdr:x>
      <cdr:y>0.83625</cdr:y>
    </cdr:from>
    <cdr:to>
      <cdr:x>0.25875</cdr:x>
      <cdr:y>1</cdr:y>
    </cdr:to>
    <cdr:sp macro="" textlink="">
      <cdr:nvSpPr>
        <cdr:cNvPr id="16455" name="AutoShape 7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15167" y="4803172"/>
          <a:ext cx="158884" cy="920793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0.2415</cdr:x>
      <cdr:y>0.83625</cdr:y>
    </cdr:from>
    <cdr:to>
      <cdr:x>0.25875</cdr:x>
      <cdr:y>1</cdr:y>
    </cdr:to>
    <cdr:sp macro="" textlink="">
      <cdr:nvSpPr>
        <cdr:cNvPr id="16456" name="AutoShape 7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15167" y="4803172"/>
          <a:ext cx="158884" cy="920793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0.20725</cdr:x>
      <cdr:y>0.918</cdr:y>
    </cdr:from>
    <cdr:to>
      <cdr:x>0.29125</cdr:x>
      <cdr:y>0.94575</cdr:y>
    </cdr:to>
    <cdr:sp macro="" textlink="">
      <cdr:nvSpPr>
        <cdr:cNvPr id="16457" name="AutoShape 73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2215448" y="4802194"/>
          <a:ext cx="156019" cy="773696"/>
        </a:xfrm>
        <a:prstGeom xmlns:a="http://schemas.openxmlformats.org/drawingml/2006/main" prst="leftBrace">
          <a:avLst>
            <a:gd name="adj1" fmla="val 4132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0.195</cdr:x>
      <cdr:y>0.83525</cdr:y>
    </cdr:from>
    <cdr:to>
      <cdr:x>0.23</cdr:x>
      <cdr:y>0.876</cdr:y>
    </cdr:to>
    <cdr:sp macro="" textlink="">
      <cdr:nvSpPr>
        <cdr:cNvPr id="16458" name="AutoShape 7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786871" y="4644366"/>
          <a:ext cx="322374" cy="229850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0.2085</cdr:x>
      <cdr:y>0.836</cdr:y>
    </cdr:from>
    <cdr:to>
      <cdr:x>0.22525</cdr:x>
      <cdr:y>1</cdr:y>
    </cdr:to>
    <cdr:sp macro="" textlink="">
      <cdr:nvSpPr>
        <cdr:cNvPr id="16459" name="AutoShape 7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13518" y="4704267"/>
          <a:ext cx="151976" cy="923579"/>
        </a:xfrm>
        <a:prstGeom xmlns:a="http://schemas.openxmlformats.org/drawingml/2006/main" prst="leftBrace">
          <a:avLst>
            <a:gd name="adj1" fmla="val 5064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0.202</cdr:x>
      <cdr:y>0.8245</cdr:y>
    </cdr:from>
    <cdr:to>
      <cdr:x>0.213</cdr:x>
      <cdr:y>0.84575</cdr:y>
    </cdr:to>
    <cdr:sp macro="" textlink="">
      <cdr:nvSpPr>
        <cdr:cNvPr id="16460" name="AutoShape 7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53648" y="4583073"/>
          <a:ext cx="99015" cy="121194"/>
        </a:xfrm>
        <a:prstGeom xmlns:a="http://schemas.openxmlformats.org/drawingml/2006/main" prst="leftBrace">
          <a:avLst>
            <a:gd name="adj1" fmla="val 10200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0.213</cdr:x>
      <cdr:y>0.836</cdr:y>
    </cdr:from>
    <cdr:to>
      <cdr:x>0.22925</cdr:x>
      <cdr:y>1</cdr:y>
    </cdr:to>
    <cdr:sp macro="" textlink="">
      <cdr:nvSpPr>
        <cdr:cNvPr id="16461" name="AutoShape 7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52663" y="4704267"/>
          <a:ext cx="149674" cy="923579"/>
        </a:xfrm>
        <a:prstGeom xmlns:a="http://schemas.openxmlformats.org/drawingml/2006/main" prst="leftBrace">
          <a:avLst>
            <a:gd name="adj1" fmla="val 5142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0.20775</cdr:x>
      <cdr:y>0.83525</cdr:y>
    </cdr:from>
    <cdr:to>
      <cdr:x>0.25025</cdr:x>
      <cdr:y>0.90375</cdr:y>
    </cdr:to>
    <cdr:sp macro="" textlink="">
      <cdr:nvSpPr>
        <cdr:cNvPr id="16462" name="AutoShape 7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13518" y="4644366"/>
          <a:ext cx="391453" cy="385870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0.19025</cdr:x>
      <cdr:y>0.92475</cdr:y>
    </cdr:from>
    <cdr:to>
      <cdr:x>0.26575</cdr:x>
      <cdr:y>0.9515</cdr:y>
    </cdr:to>
    <cdr:sp macro="" textlink="">
      <cdr:nvSpPr>
        <cdr:cNvPr id="16463" name="AutoShape 7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2022962" y="4874316"/>
          <a:ext cx="151841" cy="697709"/>
        </a:xfrm>
        <a:prstGeom xmlns:a="http://schemas.openxmlformats.org/drawingml/2006/main" prst="leftBrace">
          <a:avLst>
            <a:gd name="adj1" fmla="val 3829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0.2085</cdr:x>
      <cdr:y>0.7825</cdr:y>
    </cdr:from>
    <cdr:to>
      <cdr:x>0.22925</cdr:x>
      <cdr:y>0.9745</cdr:y>
    </cdr:to>
    <cdr:sp macro="" textlink="">
      <cdr:nvSpPr>
        <cdr:cNvPr id="16464" name="AutoShape 8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13518" y="4347651"/>
          <a:ext cx="188819" cy="1080992"/>
        </a:xfrm>
        <a:prstGeom xmlns:a="http://schemas.openxmlformats.org/drawingml/2006/main" prst="leftBrace">
          <a:avLst>
            <a:gd name="adj1" fmla="val 4770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0.7825</cdr:y>
    </cdr:from>
    <cdr:to>
      <cdr:x>0.27075</cdr:x>
      <cdr:y>0.89075</cdr:y>
    </cdr:to>
    <cdr:sp macro="" textlink="">
      <cdr:nvSpPr>
        <cdr:cNvPr id="16465" name="AutoShape 8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347651"/>
          <a:ext cx="474350" cy="608754"/>
        </a:xfrm>
        <a:prstGeom xmlns:a="http://schemas.openxmlformats.org/drawingml/2006/main" prst="leftBrace">
          <a:avLst>
            <a:gd name="adj1" fmla="val 106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0.25975</cdr:x>
      <cdr:y>0.83625</cdr:y>
    </cdr:from>
    <cdr:to>
      <cdr:x>0.276</cdr:x>
      <cdr:y>1</cdr:y>
    </cdr:to>
    <cdr:sp macro="" textlink="">
      <cdr:nvSpPr>
        <cdr:cNvPr id="16466" name="AutoShape 8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80959" y="4759988"/>
          <a:ext cx="149674" cy="920793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0.2665</cdr:x>
      <cdr:y>0.83625</cdr:y>
    </cdr:from>
    <cdr:to>
      <cdr:x>0.28375</cdr:x>
      <cdr:y>1</cdr:y>
    </cdr:to>
    <cdr:sp macro="" textlink="">
      <cdr:nvSpPr>
        <cdr:cNvPr id="16467" name="AutoShape 8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454645" y="4651331"/>
          <a:ext cx="158884" cy="920794"/>
        </a:xfrm>
        <a:prstGeom xmlns:a="http://schemas.openxmlformats.org/drawingml/2006/main" prst="leftBrace">
          <a:avLst>
            <a:gd name="adj1" fmla="val 4829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0.27725</cdr:x>
      <cdr:y>0.8935</cdr:y>
    </cdr:from>
    <cdr:to>
      <cdr:x>0.28725</cdr:x>
      <cdr:y>0.91</cdr:y>
    </cdr:to>
    <cdr:sp macro="" textlink="">
      <cdr:nvSpPr>
        <cdr:cNvPr id="16468" name="AutoShape 8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53660" y="4973122"/>
          <a:ext cx="89804" cy="93333"/>
        </a:xfrm>
        <a:prstGeom xmlns:a="http://schemas.openxmlformats.org/drawingml/2006/main" prst="leftBrace">
          <a:avLst>
            <a:gd name="adj1" fmla="val 8661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0.28725</cdr:x>
      <cdr:y>0.83625</cdr:y>
    </cdr:from>
    <cdr:to>
      <cdr:x>0.3045</cdr:x>
      <cdr:y>1</cdr:y>
    </cdr:to>
    <cdr:sp macro="" textlink="">
      <cdr:nvSpPr>
        <cdr:cNvPr id="16469" name="AutoShape 8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643464" y="4973122"/>
          <a:ext cx="158884" cy="922186"/>
        </a:xfrm>
        <a:prstGeom xmlns:a="http://schemas.openxmlformats.org/drawingml/2006/main" prst="leftBrace">
          <a:avLst>
            <a:gd name="adj1" fmla="val 4836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0.28725</cdr:x>
      <cdr:y>0.83625</cdr:y>
    </cdr:from>
    <cdr:to>
      <cdr:x>0.3045</cdr:x>
      <cdr:y>1</cdr:y>
    </cdr:to>
    <cdr:sp macro="" textlink="">
      <cdr:nvSpPr>
        <cdr:cNvPr id="16470" name="AutoShape 8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643464" y="4973122"/>
          <a:ext cx="158884" cy="922186"/>
        </a:xfrm>
        <a:prstGeom xmlns:a="http://schemas.openxmlformats.org/drawingml/2006/main" prst="leftBrace">
          <a:avLst>
            <a:gd name="adj1" fmla="val 4836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0.28725</cdr:x>
      <cdr:y>0.83625</cdr:y>
    </cdr:from>
    <cdr:to>
      <cdr:x>0.3045</cdr:x>
      <cdr:y>1</cdr:y>
    </cdr:to>
    <cdr:sp macro="" textlink="">
      <cdr:nvSpPr>
        <cdr:cNvPr id="16471" name="AutoShape 8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643464" y="4973122"/>
          <a:ext cx="158884" cy="922186"/>
        </a:xfrm>
        <a:prstGeom xmlns:a="http://schemas.openxmlformats.org/drawingml/2006/main" prst="leftBrace">
          <a:avLst>
            <a:gd name="adj1" fmla="val 4836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0.28725</cdr:x>
      <cdr:y>0.83625</cdr:y>
    </cdr:from>
    <cdr:to>
      <cdr:x>0.3045</cdr:x>
      <cdr:y>1</cdr:y>
    </cdr:to>
    <cdr:sp macro="" textlink="">
      <cdr:nvSpPr>
        <cdr:cNvPr id="16472" name="AutoShape 8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643464" y="4973122"/>
          <a:ext cx="158884" cy="922186"/>
        </a:xfrm>
        <a:prstGeom xmlns:a="http://schemas.openxmlformats.org/drawingml/2006/main" prst="leftBrace">
          <a:avLst>
            <a:gd name="adj1" fmla="val 4836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0.28725</cdr:x>
      <cdr:y>0.83625</cdr:y>
    </cdr:from>
    <cdr:to>
      <cdr:x>0.3045</cdr:x>
      <cdr:y>1</cdr:y>
    </cdr:to>
    <cdr:sp macro="" textlink="">
      <cdr:nvSpPr>
        <cdr:cNvPr id="16473" name="AutoShape 8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643464" y="4973122"/>
          <a:ext cx="158884" cy="922186"/>
        </a:xfrm>
        <a:prstGeom xmlns:a="http://schemas.openxmlformats.org/drawingml/2006/main" prst="leftBrace">
          <a:avLst>
            <a:gd name="adj1" fmla="val 4836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0.19425</cdr:x>
      <cdr:y>0.79525</cdr:y>
    </cdr:from>
    <cdr:to>
      <cdr:x>0.28725</cdr:x>
      <cdr:y>0.8935</cdr:y>
    </cdr:to>
    <cdr:sp macro="" textlink="">
      <cdr:nvSpPr>
        <cdr:cNvPr id="16474" name="AutoShape 9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786871" y="4421481"/>
          <a:ext cx="856593" cy="551641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0.241</cdr:x>
      <cdr:y>0.7705</cdr:y>
    </cdr:from>
    <cdr:to>
      <cdr:x>0.251</cdr:x>
      <cdr:y>0.84575</cdr:y>
    </cdr:to>
    <cdr:sp macro="" textlink="">
      <cdr:nvSpPr>
        <cdr:cNvPr id="16475" name="AutoShape 9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15167" y="4280785"/>
          <a:ext cx="96712" cy="423482"/>
        </a:xfrm>
        <a:prstGeom xmlns:a="http://schemas.openxmlformats.org/drawingml/2006/main" prst="leftBrace">
          <a:avLst>
            <a:gd name="adj1" fmla="val 36490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0.2355</cdr:x>
      <cdr:y>0.7705</cdr:y>
    </cdr:from>
    <cdr:to>
      <cdr:x>0.2465</cdr:x>
      <cdr:y>0.86325</cdr:y>
    </cdr:to>
    <cdr:sp macro="" textlink="">
      <cdr:nvSpPr>
        <cdr:cNvPr id="16476" name="AutoShape 9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69114" y="4280785"/>
          <a:ext cx="99015" cy="522387"/>
        </a:xfrm>
        <a:prstGeom xmlns:a="http://schemas.openxmlformats.org/drawingml/2006/main" prst="leftBrace">
          <a:avLst>
            <a:gd name="adj1" fmla="val 4396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0.22925</cdr:x>
      <cdr:y>0.8175</cdr:y>
    </cdr:from>
    <cdr:to>
      <cdr:x>0.24525</cdr:x>
      <cdr:y>0.9815</cdr:y>
    </cdr:to>
    <cdr:sp macro="" textlink="" fLocksText="0">
      <cdr:nvSpPr>
        <cdr:cNvPr id="16477" name="AutoShape 9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02337" y="4545461"/>
          <a:ext cx="149673" cy="922187"/>
        </a:xfrm>
        <a:prstGeom xmlns:a="http://schemas.openxmlformats.org/drawingml/2006/main" prst="leftBrace">
          <a:avLst>
            <a:gd name="adj1" fmla="val 5134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0.195</cdr:x>
      <cdr:y>0.93175</cdr:y>
    </cdr:from>
    <cdr:to>
      <cdr:x>0.26225</cdr:x>
      <cdr:y>0.95875</cdr:y>
    </cdr:to>
    <cdr:sp macro="" textlink="" fLocksText="0">
      <cdr:nvSpPr>
        <cdr:cNvPr id="16478" name="AutoShape 94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2019508" y="4955011"/>
          <a:ext cx="151841" cy="617115"/>
        </a:xfrm>
        <a:prstGeom xmlns:a="http://schemas.openxmlformats.org/drawingml/2006/main" prst="leftBrace">
          <a:avLst>
            <a:gd name="adj1" fmla="val 3386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0.19025</cdr:x>
      <cdr:y>0.9255</cdr:y>
    </cdr:from>
    <cdr:to>
      <cdr:x>0.25025</cdr:x>
      <cdr:y>0.951</cdr:y>
    </cdr:to>
    <cdr:sp macro="" textlink="">
      <cdr:nvSpPr>
        <cdr:cNvPr id="16479" name="AutoShape 9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750028" y="5152823"/>
          <a:ext cx="554943" cy="143482"/>
        </a:xfrm>
        <a:prstGeom xmlns:a="http://schemas.openxmlformats.org/drawingml/2006/main" prst="leftBrace">
          <a:avLst>
            <a:gd name="adj1" fmla="val 833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0.22925</cdr:x>
      <cdr:y>0.81075</cdr:y>
    </cdr:from>
    <cdr:to>
      <cdr:x>0.24525</cdr:x>
      <cdr:y>0.975</cdr:y>
    </cdr:to>
    <cdr:sp macro="" textlink="">
      <cdr:nvSpPr>
        <cdr:cNvPr id="16483" name="AutoShape 9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02337" y="4507849"/>
          <a:ext cx="149673" cy="923580"/>
        </a:xfrm>
        <a:prstGeom xmlns:a="http://schemas.openxmlformats.org/drawingml/2006/main" prst="leftBrace">
          <a:avLst>
            <a:gd name="adj1" fmla="val 5142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0.22925</cdr:x>
      <cdr:y>0.79525</cdr:y>
    </cdr:from>
    <cdr:to>
      <cdr:x>0.2415</cdr:x>
      <cdr:y>0.89075</cdr:y>
    </cdr:to>
    <cdr:sp macro="" textlink="">
      <cdr:nvSpPr>
        <cdr:cNvPr id="16484" name="AutoShape 100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02337" y="4421481"/>
          <a:ext cx="112830" cy="534924"/>
        </a:xfrm>
        <a:prstGeom xmlns:a="http://schemas.openxmlformats.org/drawingml/2006/main" prst="leftBrace">
          <a:avLst>
            <a:gd name="adj1" fmla="val 39508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0.21925</cdr:x>
      <cdr:y>0.836</cdr:y>
    </cdr:from>
    <cdr:to>
      <cdr:x>0.2355</cdr:x>
      <cdr:y>1</cdr:y>
    </cdr:to>
    <cdr:sp macro="" textlink="">
      <cdr:nvSpPr>
        <cdr:cNvPr id="16485" name="AutoShape 10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019440" y="4704267"/>
          <a:ext cx="149674" cy="923579"/>
        </a:xfrm>
        <a:prstGeom xmlns:a="http://schemas.openxmlformats.org/drawingml/2006/main" prst="leftBrace">
          <a:avLst>
            <a:gd name="adj1" fmla="val 5142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0.2095</cdr:x>
      <cdr:y>0.836</cdr:y>
    </cdr:from>
    <cdr:to>
      <cdr:x>0.226</cdr:x>
      <cdr:y>1</cdr:y>
    </cdr:to>
    <cdr:sp macro="" textlink="">
      <cdr:nvSpPr>
        <cdr:cNvPr id="16486" name="AutoShape 10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22728" y="5152823"/>
          <a:ext cx="149674" cy="922186"/>
        </a:xfrm>
        <a:prstGeom xmlns:a="http://schemas.openxmlformats.org/drawingml/2006/main" prst="leftBrace">
          <a:avLst>
            <a:gd name="adj1" fmla="val 5134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0.2095</cdr:x>
      <cdr:y>0.813</cdr:y>
    </cdr:from>
    <cdr:to>
      <cdr:x>0.226</cdr:x>
      <cdr:y>0.9255</cdr:y>
    </cdr:to>
    <cdr:sp macro="" textlink="">
      <cdr:nvSpPr>
        <cdr:cNvPr id="16487" name="AutoShape 10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922728" y="4520386"/>
          <a:ext cx="149674" cy="632437"/>
        </a:xfrm>
        <a:prstGeom xmlns:a="http://schemas.openxmlformats.org/drawingml/2006/main" prst="leftBrace">
          <a:avLst>
            <a:gd name="adj1" fmla="val 3521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0.203</cdr:x>
      <cdr:y>0.83625</cdr:y>
    </cdr:from>
    <cdr:to>
      <cdr:x>0.21925</cdr:x>
      <cdr:y>1</cdr:y>
    </cdr:to>
    <cdr:sp macro="" textlink="">
      <cdr:nvSpPr>
        <cdr:cNvPr id="16488" name="AutoShape 10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62859" y="4874216"/>
          <a:ext cx="149673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0.203</cdr:x>
      <cdr:y>0.83625</cdr:y>
    </cdr:from>
    <cdr:to>
      <cdr:x>0.21925</cdr:x>
      <cdr:y>1</cdr:y>
    </cdr:to>
    <cdr:sp macro="" textlink="">
      <cdr:nvSpPr>
        <cdr:cNvPr id="16489" name="AutoShape 10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862859" y="4874216"/>
          <a:ext cx="149673" cy="920794"/>
        </a:xfrm>
        <a:prstGeom xmlns:a="http://schemas.openxmlformats.org/drawingml/2006/main" prst="leftBrace">
          <a:avLst>
            <a:gd name="adj1" fmla="val 51267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0.2915</cdr:x>
      <cdr:y>0.637</cdr:y>
    </cdr:from>
    <cdr:to>
      <cdr:x>0.3085</cdr:x>
      <cdr:y>0.7985</cdr:y>
    </cdr:to>
    <cdr:sp macro="" textlink="">
      <cdr:nvSpPr>
        <cdr:cNvPr id="16490" name="AutoShape 106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680306" y="3518797"/>
          <a:ext cx="158885" cy="915221"/>
        </a:xfrm>
        <a:prstGeom xmlns:a="http://schemas.openxmlformats.org/drawingml/2006/main" prst="leftBrace">
          <a:avLst>
            <a:gd name="adj1" fmla="val 4800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0.3626</cdr:x>
      <cdr:y>0.84448</cdr:y>
    </cdr:from>
    <cdr:to>
      <cdr:x>0.7327</cdr:x>
      <cdr:y>0.91913</cdr:y>
    </cdr:to>
    <cdr:sp macro="" textlink="">
      <cdr:nvSpPr>
        <cdr:cNvPr id="36443" name="AutoShape 107"/>
        <cdr:cNvSpPr>
          <a:spLocks xmlns:a="http://schemas.openxmlformats.org/drawingml/2006/main"/>
        </cdr:cNvSpPr>
      </cdr:nvSpPr>
      <cdr:spPr bwMode="auto">
        <a:xfrm xmlns:a="http://schemas.openxmlformats.org/drawingml/2006/main" rot="-5400000">
          <a:off x="4416589" y="3459656"/>
          <a:ext cx="425303" cy="3128449"/>
        </a:xfrm>
        <a:prstGeom xmlns:a="http://schemas.openxmlformats.org/drawingml/2006/main" prst="leftBrace">
          <a:avLst>
            <a:gd name="adj1" fmla="val 142933"/>
            <a:gd name="adj2" fmla="val 48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0.21828</cdr:x>
      <cdr:y>0.84759</cdr:y>
    </cdr:from>
    <cdr:to>
      <cdr:x>0.33857</cdr:x>
      <cdr:y>0.9098</cdr:y>
    </cdr:to>
    <cdr:sp macro="" textlink="">
      <cdr:nvSpPr>
        <cdr:cNvPr id="16492" name="AutoShape 10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2176323" y="4497758"/>
          <a:ext cx="354418" cy="1016803"/>
        </a:xfrm>
        <a:prstGeom xmlns:a="http://schemas.openxmlformats.org/drawingml/2006/main" prst="leftBrace">
          <a:avLst>
            <a:gd name="adj1" fmla="val 52738"/>
            <a:gd name="adj2" fmla="val 44915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0.18347</cdr:x>
      <cdr:y>0.92535</cdr:y>
    </cdr:from>
    <cdr:to>
      <cdr:x>0.95807</cdr:x>
      <cdr:y>0.97512</cdr:y>
    </cdr:to>
    <cdr:sp macro="" textlink="">
      <cdr:nvSpPr>
        <cdr:cNvPr id="36446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852" y="5271975"/>
          <a:ext cx="6547614" cy="283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7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     I </a:t>
          </a:r>
          <a:r>
            <a:rPr lang="ru-RU" sz="97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степень качества                            </a:t>
          </a:r>
          <a:r>
            <a:rPr lang="en-US" sz="97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II </a:t>
          </a:r>
          <a:r>
            <a:rPr lang="ru-RU" sz="97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степень качества                                      </a:t>
          </a:r>
          <a:r>
            <a:rPr lang="en-US" sz="97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III </a:t>
          </a:r>
          <a:r>
            <a:rPr lang="ru-RU" sz="975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степень качества</a:t>
          </a:r>
        </a:p>
      </cdr:txBody>
    </cdr:sp>
  </cdr:relSizeAnchor>
  <cdr:relSizeAnchor xmlns:cdr="http://schemas.openxmlformats.org/drawingml/2006/chartDrawing">
    <cdr:from>
      <cdr:x>0.05534</cdr:x>
      <cdr:y>0.91441</cdr:y>
    </cdr:from>
    <cdr:to>
      <cdr:x>0.22334</cdr:x>
      <cdr:y>0.95566</cdr:y>
    </cdr:to>
    <cdr:sp macro="" textlink="">
      <cdr:nvSpPr>
        <cdr:cNvPr id="16495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126" y="4389736"/>
          <a:ext cx="1387694" cy="198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</sheetPr>
  <dimension ref="A2:H30"/>
  <sheetViews>
    <sheetView topLeftCell="A4" zoomScale="134" zoomScaleNormal="134" workbookViewId="0">
      <selection activeCell="A3" sqref="A3"/>
    </sheetView>
  </sheetViews>
  <sheetFormatPr defaultRowHeight="12.75"/>
  <cols>
    <col min="1" max="1" width="35.85546875" style="7" customWidth="1"/>
    <col min="2" max="2" width="13.7109375" style="7" customWidth="1"/>
    <col min="3" max="3" width="14.140625" style="7" customWidth="1"/>
    <col min="4" max="4" width="11.7109375" style="7" customWidth="1"/>
    <col min="5" max="5" width="10" style="7" customWidth="1"/>
    <col min="6" max="6" width="11.42578125" style="7" customWidth="1"/>
    <col min="7" max="7" width="13.42578125" style="7" customWidth="1"/>
    <col min="8" max="8" width="10.85546875" style="7" customWidth="1"/>
  </cols>
  <sheetData>
    <row r="2" spans="1:8">
      <c r="A2" s="7" t="s">
        <v>24</v>
      </c>
    </row>
    <row r="3" spans="1:8">
      <c r="A3" s="7" t="s">
        <v>25</v>
      </c>
    </row>
    <row r="5" spans="1:8" ht="105" customHeight="1">
      <c r="A5" s="62" t="s">
        <v>0</v>
      </c>
      <c r="B5" s="23" t="s">
        <v>23</v>
      </c>
      <c r="C5" s="23" t="s">
        <v>22</v>
      </c>
      <c r="D5" s="49" t="s">
        <v>32</v>
      </c>
      <c r="E5" s="23" t="s">
        <v>147</v>
      </c>
      <c r="F5" s="23" t="s">
        <v>148</v>
      </c>
      <c r="G5" s="23" t="s">
        <v>149</v>
      </c>
      <c r="H5" s="23" t="s">
        <v>82</v>
      </c>
    </row>
    <row r="6" spans="1:8" s="25" customFormat="1" ht="12">
      <c r="A6" s="130">
        <v>1</v>
      </c>
      <c r="B6" s="130">
        <v>2</v>
      </c>
      <c r="C6" s="130">
        <v>3</v>
      </c>
      <c r="D6" s="130" t="s">
        <v>31</v>
      </c>
      <c r="E6" s="130">
        <v>5</v>
      </c>
      <c r="F6" s="130">
        <v>6</v>
      </c>
      <c r="G6" s="130" t="s">
        <v>30</v>
      </c>
      <c r="H6" s="130">
        <v>8</v>
      </c>
    </row>
    <row r="7" spans="1:8" s="7" customFormat="1" ht="31.15" customHeight="1">
      <c r="A7" s="21" t="s">
        <v>16</v>
      </c>
      <c r="B7" s="99">
        <v>91068351.439999998</v>
      </c>
      <c r="C7" s="99">
        <v>92941420.329999998</v>
      </c>
      <c r="D7" s="74">
        <f>B7/C7</f>
        <v>0.97984678001100656</v>
      </c>
      <c r="E7" s="74">
        <f>D7-D21</f>
        <v>0.27531678001100657</v>
      </c>
      <c r="F7" s="74">
        <f>D22-D21</f>
        <v>0.27532000000000001</v>
      </c>
      <c r="G7" s="74">
        <f>E7/F7</f>
        <v>0.99998830455835597</v>
      </c>
      <c r="H7" s="74">
        <f>G7*2</f>
        <v>1.9999766091167119</v>
      </c>
    </row>
    <row r="8" spans="1:8" s="7" customFormat="1" ht="27.6" customHeight="1">
      <c r="A8" s="21" t="s">
        <v>17</v>
      </c>
      <c r="B8" s="99">
        <v>16185398.720000001</v>
      </c>
      <c r="C8" s="99">
        <v>21339775.34</v>
      </c>
      <c r="D8" s="74">
        <f t="shared" ref="D8:D10" si="0">B8/C8</f>
        <v>0.758461533081913</v>
      </c>
      <c r="E8" s="74">
        <f>D8-D21</f>
        <v>5.3931533081913008E-2</v>
      </c>
      <c r="F8" s="74">
        <f>D22-D21</f>
        <v>0.27532000000000001</v>
      </c>
      <c r="G8" s="74">
        <f>E8/F8</f>
        <v>0.19588672483623784</v>
      </c>
      <c r="H8" s="74">
        <f>G8*2</f>
        <v>0.39177344967247568</v>
      </c>
    </row>
    <row r="9" spans="1:8" s="7" customFormat="1" ht="30.6" customHeight="1">
      <c r="A9" s="21" t="s">
        <v>18</v>
      </c>
      <c r="B9" s="99">
        <v>17344460.32</v>
      </c>
      <c r="C9" s="99">
        <v>23316746.93</v>
      </c>
      <c r="D9" s="74">
        <f t="shared" si="0"/>
        <v>0.7438627854936366</v>
      </c>
      <c r="E9" s="74">
        <f>D9-D21</f>
        <v>3.9332785493636613E-2</v>
      </c>
      <c r="F9" s="74">
        <f>D22-D21</f>
        <v>0.27532000000000001</v>
      </c>
      <c r="G9" s="74">
        <f>E9/F9</f>
        <v>0.14286207138470366</v>
      </c>
      <c r="H9" s="74">
        <f>G9*2</f>
        <v>0.28572414276940733</v>
      </c>
    </row>
    <row r="10" spans="1:8" s="7" customFormat="1" ht="31.9" customHeight="1">
      <c r="A10" s="21" t="s">
        <v>19</v>
      </c>
      <c r="B10" s="99">
        <v>8271189.7699999996</v>
      </c>
      <c r="C10" s="99">
        <v>11740088.65</v>
      </c>
      <c r="D10" s="74">
        <f t="shared" si="0"/>
        <v>0.7045253248577471</v>
      </c>
      <c r="E10" s="74">
        <f>D10-D21</f>
        <v>-4.6751422528856779E-6</v>
      </c>
      <c r="F10" s="74">
        <f>D22-D21</f>
        <v>0.27532000000000001</v>
      </c>
      <c r="G10" s="74">
        <f>E10/F10</f>
        <v>-1.6980757855897419E-5</v>
      </c>
      <c r="H10" s="74">
        <f>G10*2</f>
        <v>-3.3961515711794838E-5</v>
      </c>
    </row>
    <row r="11" spans="1:8" s="7" customFormat="1" ht="29.45" hidden="1" customHeight="1">
      <c r="A11" s="21"/>
      <c r="B11" s="99"/>
      <c r="C11" s="99"/>
      <c r="D11" s="74"/>
      <c r="E11" s="76"/>
      <c r="F11" s="76"/>
      <c r="G11" s="76"/>
      <c r="H11" s="76"/>
    </row>
    <row r="12" spans="1:8" s="7" customFormat="1" ht="31.15" hidden="1" customHeight="1">
      <c r="A12" s="21"/>
      <c r="B12" s="99"/>
      <c r="C12" s="99"/>
      <c r="D12" s="74"/>
      <c r="E12" s="76"/>
      <c r="F12" s="76"/>
      <c r="G12" s="76"/>
      <c r="H12" s="76"/>
    </row>
    <row r="13" spans="1:8" s="7" customFormat="1" ht="31.9" hidden="1" customHeight="1">
      <c r="A13" s="21"/>
      <c r="B13" s="99"/>
      <c r="C13" s="99"/>
      <c r="D13" s="74"/>
      <c r="E13" s="76"/>
      <c r="F13" s="76"/>
      <c r="G13" s="76"/>
      <c r="H13" s="76"/>
    </row>
    <row r="14" spans="1:8" s="7" customFormat="1" ht="31.9" hidden="1" customHeight="1">
      <c r="A14" s="21"/>
      <c r="B14" s="99"/>
      <c r="C14" s="99"/>
      <c r="D14" s="74"/>
      <c r="E14" s="76"/>
      <c r="F14" s="76"/>
      <c r="G14" s="76"/>
      <c r="H14" s="76"/>
    </row>
    <row r="15" spans="1:8" s="7" customFormat="1" ht="31.9" hidden="1" customHeight="1">
      <c r="A15" s="21"/>
      <c r="B15" s="99"/>
      <c r="C15" s="99"/>
      <c r="D15" s="74"/>
      <c r="E15" s="76"/>
      <c r="F15" s="76"/>
      <c r="G15" s="76"/>
      <c r="H15" s="76"/>
    </row>
    <row r="16" spans="1:8" s="7" customFormat="1">
      <c r="A16" s="131" t="s">
        <v>4</v>
      </c>
      <c r="B16" s="22">
        <f>SUM(B7:B10)</f>
        <v>132869400.24999999</v>
      </c>
      <c r="C16" s="22">
        <f>SUM(C7:C15)</f>
        <v>149338031.25</v>
      </c>
      <c r="D16" s="76">
        <f>(D7+D8+D9+D10)/4</f>
        <v>0.79667410586107579</v>
      </c>
      <c r="E16" s="76">
        <f>D16-D21</f>
        <v>9.2144105861075798E-2</v>
      </c>
      <c r="F16" s="76">
        <f>D22-D21</f>
        <v>0.27532000000000001</v>
      </c>
      <c r="G16" s="76">
        <f>(G7+G8+G9+G10)/4</f>
        <v>0.33468003000536045</v>
      </c>
      <c r="H16" s="76">
        <f>G16*2</f>
        <v>0.6693600600107209</v>
      </c>
    </row>
    <row r="17" spans="1:8">
      <c r="A17" s="7" t="s">
        <v>29</v>
      </c>
      <c r="B17" s="118">
        <v>132869400.25</v>
      </c>
      <c r="C17" s="118">
        <v>149338031.25</v>
      </c>
      <c r="D17" s="132"/>
      <c r="E17" s="76"/>
      <c r="F17" s="76"/>
      <c r="G17" s="76"/>
      <c r="H17" s="76"/>
    </row>
    <row r="18" spans="1:8">
      <c r="B18" s="118">
        <f>B17-B16</f>
        <v>0</v>
      </c>
      <c r="C18" s="118">
        <f>C17-C16</f>
        <v>0</v>
      </c>
      <c r="D18" s="76"/>
      <c r="E18" s="76"/>
      <c r="F18" s="76"/>
      <c r="G18" s="76"/>
      <c r="H18" s="76"/>
    </row>
    <row r="19" spans="1:8">
      <c r="B19" s="22"/>
      <c r="C19" s="22"/>
      <c r="D19" s="76"/>
      <c r="E19" s="76"/>
      <c r="F19" s="76"/>
      <c r="G19" s="76"/>
      <c r="H19" s="76"/>
    </row>
    <row r="20" spans="1:8">
      <c r="A20" s="7" t="s">
        <v>26</v>
      </c>
      <c r="B20" s="22"/>
      <c r="C20" s="22"/>
      <c r="D20" s="76">
        <f>D16</f>
        <v>0.79667410586107579</v>
      </c>
      <c r="E20" s="76"/>
      <c r="F20" s="76"/>
      <c r="G20" s="76"/>
      <c r="H20" s="76"/>
    </row>
    <row r="21" spans="1:8">
      <c r="A21" s="7" t="s">
        <v>27</v>
      </c>
      <c r="B21" s="22"/>
      <c r="C21" s="22"/>
      <c r="D21" s="76">
        <v>0.70452999999999999</v>
      </c>
      <c r="E21" s="76"/>
      <c r="F21" s="76"/>
      <c r="G21" s="76"/>
      <c r="H21" s="76"/>
    </row>
    <row r="22" spans="1:8">
      <c r="A22" s="7" t="s">
        <v>28</v>
      </c>
      <c r="B22" s="22"/>
      <c r="C22" s="22"/>
      <c r="D22" s="76">
        <v>0.97985</v>
      </c>
      <c r="E22" s="76"/>
      <c r="F22" s="76"/>
      <c r="G22" s="76"/>
      <c r="H22" s="76"/>
    </row>
    <row r="23" spans="1:8">
      <c r="A23" s="119" t="s">
        <v>40</v>
      </c>
      <c r="B23" s="120"/>
      <c r="C23" s="120"/>
      <c r="D23" s="121"/>
      <c r="E23" s="22"/>
    </row>
    <row r="24" spans="1:8">
      <c r="A24" s="119" t="s">
        <v>41</v>
      </c>
      <c r="B24" s="120"/>
      <c r="C24" s="120"/>
      <c r="D24" s="122">
        <f>D20*5</f>
        <v>3.9833705293053789</v>
      </c>
      <c r="E24" s="22"/>
    </row>
    <row r="25" spans="1:8">
      <c r="A25" s="119" t="s">
        <v>42</v>
      </c>
      <c r="B25" s="120"/>
      <c r="C25" s="120"/>
      <c r="D25" s="122">
        <f>D20/5</f>
        <v>0.15933482117221515</v>
      </c>
      <c r="E25" s="22"/>
    </row>
    <row r="26" spans="1:8">
      <c r="B26" s="22"/>
      <c r="C26" s="22"/>
      <c r="D26" s="27"/>
      <c r="E26" s="22"/>
    </row>
    <row r="27" spans="1:8">
      <c r="B27" s="22"/>
      <c r="C27" s="22"/>
      <c r="D27" s="27"/>
      <c r="E27" s="22"/>
    </row>
    <row r="28" spans="1:8">
      <c r="D28" s="27"/>
    </row>
    <row r="29" spans="1:8">
      <c r="D29" s="27"/>
    </row>
    <row r="30" spans="1:8">
      <c r="D30" s="2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34"/>
  </sheetPr>
  <dimension ref="A2:C10"/>
  <sheetViews>
    <sheetView zoomScale="129" zoomScaleNormal="129" workbookViewId="0">
      <selection activeCell="D12" sqref="D12"/>
    </sheetView>
  </sheetViews>
  <sheetFormatPr defaultRowHeight="12.75"/>
  <cols>
    <col min="1" max="1" width="38.42578125" style="7" customWidth="1"/>
    <col min="2" max="2" width="15.28515625" style="7" customWidth="1"/>
    <col min="3" max="3" width="14.7109375" style="7" customWidth="1"/>
    <col min="4" max="4" width="12.7109375" customWidth="1"/>
  </cols>
  <sheetData>
    <row r="2" spans="1:3">
      <c r="A2" s="7" t="s">
        <v>61</v>
      </c>
    </row>
    <row r="4" spans="1:3" ht="73.900000000000006" customHeight="1">
      <c r="A4" s="62" t="s">
        <v>0</v>
      </c>
      <c r="B4" s="23" t="s">
        <v>89</v>
      </c>
      <c r="C4" s="23" t="s">
        <v>91</v>
      </c>
    </row>
    <row r="5" spans="1:3">
      <c r="A5" s="45">
        <v>1</v>
      </c>
      <c r="B5" s="45">
        <v>2</v>
      </c>
      <c r="C5" s="45">
        <v>3</v>
      </c>
    </row>
    <row r="6" spans="1:3" ht="31.15" customHeight="1">
      <c r="A6" s="21" t="s">
        <v>16</v>
      </c>
      <c r="B6" s="116">
        <f>'3.1'!I6</f>
        <v>-2.7477981806251572E-5</v>
      </c>
      <c r="C6" s="74">
        <f>2*B6</f>
        <v>-5.4955963612503144E-5</v>
      </c>
    </row>
    <row r="7" spans="1:3" ht="27.6" customHeight="1">
      <c r="A7" s="21" t="s">
        <v>17</v>
      </c>
      <c r="B7" s="116">
        <f>'3.1'!I7</f>
        <v>0.41349259173584174</v>
      </c>
      <c r="C7" s="74">
        <f t="shared" ref="C7:C9" si="0">2*B7</f>
        <v>0.82698518347168348</v>
      </c>
    </row>
    <row r="8" spans="1:3" ht="30.6" customHeight="1">
      <c r="A8" s="21" t="s">
        <v>18</v>
      </c>
      <c r="B8" s="116">
        <f>'3.1'!I8</f>
        <v>1.7043953533034577</v>
      </c>
      <c r="C8" s="74">
        <f t="shared" si="0"/>
        <v>3.4087907066069154</v>
      </c>
    </row>
    <row r="9" spans="1:3" ht="31.9" customHeight="1">
      <c r="A9" s="21" t="s">
        <v>19</v>
      </c>
      <c r="B9" s="116">
        <f>'3.1'!I9</f>
        <v>1.7043953533034577</v>
      </c>
      <c r="C9" s="74">
        <f t="shared" si="0"/>
        <v>3.4087907066069154</v>
      </c>
    </row>
    <row r="10" spans="1:3">
      <c r="A10" s="7" t="s">
        <v>4</v>
      </c>
      <c r="B10" s="76">
        <f>'3.1'!I10</f>
        <v>0.5219767665172883</v>
      </c>
      <c r="C10" s="76">
        <f>2*B10</f>
        <v>1.0439535330345766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FF"/>
  </sheetPr>
  <dimension ref="A2:E11"/>
  <sheetViews>
    <sheetView zoomScale="119" zoomScaleNormal="119" workbookViewId="0">
      <selection activeCell="A3" sqref="A3"/>
    </sheetView>
  </sheetViews>
  <sheetFormatPr defaultRowHeight="12.75"/>
  <cols>
    <col min="1" max="1" width="36.5703125" style="7" customWidth="1"/>
    <col min="2" max="3" width="17.42578125" style="7" customWidth="1"/>
    <col min="4" max="4" width="13.42578125" style="7" customWidth="1"/>
    <col min="5" max="5" width="8.85546875" style="24"/>
  </cols>
  <sheetData>
    <row r="2" spans="1:4">
      <c r="A2" s="7" t="s">
        <v>62</v>
      </c>
    </row>
    <row r="3" spans="1:4">
      <c r="A3" s="7" t="s">
        <v>63</v>
      </c>
    </row>
    <row r="5" spans="1:4" ht="89.25">
      <c r="A5" s="62" t="s">
        <v>0</v>
      </c>
      <c r="B5" s="23" t="s">
        <v>64</v>
      </c>
      <c r="C5" s="23" t="s">
        <v>66</v>
      </c>
      <c r="D5" s="23" t="s">
        <v>84</v>
      </c>
    </row>
    <row r="6" spans="1:4">
      <c r="A6" s="45">
        <v>1</v>
      </c>
      <c r="B6" s="45">
        <v>2</v>
      </c>
      <c r="C6" s="45">
        <v>3</v>
      </c>
      <c r="D6" s="45">
        <v>4</v>
      </c>
    </row>
    <row r="7" spans="1:4" ht="26.45" customHeight="1">
      <c r="A7" s="21" t="s">
        <v>16</v>
      </c>
      <c r="B7" s="114" t="s">
        <v>65</v>
      </c>
      <c r="C7" s="20">
        <v>1</v>
      </c>
      <c r="D7" s="109">
        <f>C7*2</f>
        <v>2</v>
      </c>
    </row>
    <row r="8" spans="1:4" ht="26.45" customHeight="1">
      <c r="A8" s="21" t="s">
        <v>17</v>
      </c>
      <c r="B8" s="114" t="s">
        <v>65</v>
      </c>
      <c r="C8" s="20">
        <v>1</v>
      </c>
      <c r="D8" s="109">
        <f>C8*2</f>
        <v>2</v>
      </c>
    </row>
    <row r="9" spans="1:4" ht="26.45" customHeight="1">
      <c r="A9" s="21" t="s">
        <v>18</v>
      </c>
      <c r="B9" s="114" t="s">
        <v>65</v>
      </c>
      <c r="C9" s="20">
        <v>1</v>
      </c>
      <c r="D9" s="109">
        <f>C9*2</f>
        <v>2</v>
      </c>
    </row>
    <row r="10" spans="1:4" ht="26.45" customHeight="1">
      <c r="A10" s="21" t="s">
        <v>19</v>
      </c>
      <c r="B10" s="114" t="s">
        <v>65</v>
      </c>
      <c r="C10" s="20">
        <v>1</v>
      </c>
      <c r="D10" s="109">
        <f>C10*2</f>
        <v>2</v>
      </c>
    </row>
    <row r="11" spans="1:4">
      <c r="A11" s="68"/>
      <c r="B11" s="115"/>
      <c r="C11" s="68">
        <v>1</v>
      </c>
      <c r="D11" s="68">
        <f>C11*2</f>
        <v>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FF"/>
  </sheetPr>
  <dimension ref="A2:E11"/>
  <sheetViews>
    <sheetView zoomScale="144" zoomScaleNormal="144" workbookViewId="0">
      <selection activeCell="A3" sqref="A3"/>
    </sheetView>
  </sheetViews>
  <sheetFormatPr defaultRowHeight="12.75"/>
  <cols>
    <col min="1" max="1" width="36.5703125" style="7" customWidth="1"/>
    <col min="2" max="3" width="17.42578125" style="7" customWidth="1"/>
    <col min="4" max="4" width="13.42578125" style="7" customWidth="1"/>
    <col min="5" max="5" width="8.85546875" style="24"/>
  </cols>
  <sheetData>
    <row r="2" spans="1:4">
      <c r="A2" s="7" t="s">
        <v>68</v>
      </c>
    </row>
    <row r="3" spans="1:4">
      <c r="A3" s="7" t="s">
        <v>67</v>
      </c>
    </row>
    <row r="5" spans="1:4" ht="89.25">
      <c r="A5" s="62" t="s">
        <v>0</v>
      </c>
      <c r="B5" s="23" t="s">
        <v>69</v>
      </c>
      <c r="C5" s="23" t="s">
        <v>70</v>
      </c>
      <c r="D5" s="23" t="s">
        <v>84</v>
      </c>
    </row>
    <row r="6" spans="1:4">
      <c r="A6" s="45">
        <v>1</v>
      </c>
      <c r="B6" s="45">
        <v>2</v>
      </c>
      <c r="C6" s="45">
        <v>3</v>
      </c>
      <c r="D6" s="45">
        <v>4</v>
      </c>
    </row>
    <row r="7" spans="1:4">
      <c r="A7" s="21" t="s">
        <v>16</v>
      </c>
      <c r="B7" s="114" t="s">
        <v>71</v>
      </c>
      <c r="C7" s="20">
        <v>1</v>
      </c>
      <c r="D7" s="109">
        <f>C7*2</f>
        <v>2</v>
      </c>
    </row>
    <row r="8" spans="1:4" ht="13.9" customHeight="1">
      <c r="A8" s="21" t="s">
        <v>17</v>
      </c>
      <c r="B8" s="114" t="s">
        <v>71</v>
      </c>
      <c r="C8" s="20">
        <v>1</v>
      </c>
      <c r="D8" s="109">
        <f>C8*2</f>
        <v>2</v>
      </c>
    </row>
    <row r="9" spans="1:4">
      <c r="A9" s="21" t="s">
        <v>18</v>
      </c>
      <c r="B9" s="114" t="s">
        <v>71</v>
      </c>
      <c r="C9" s="20">
        <v>1</v>
      </c>
      <c r="D9" s="109">
        <f>C9*2</f>
        <v>2</v>
      </c>
    </row>
    <row r="10" spans="1:4">
      <c r="A10" s="21" t="s">
        <v>19</v>
      </c>
      <c r="B10" s="114" t="s">
        <v>71</v>
      </c>
      <c r="C10" s="20">
        <v>1</v>
      </c>
      <c r="D10" s="109">
        <f>C10*2</f>
        <v>2</v>
      </c>
    </row>
    <row r="11" spans="1:4">
      <c r="A11" s="68"/>
      <c r="B11" s="115"/>
      <c r="C11" s="68">
        <v>1</v>
      </c>
      <c r="D11" s="68">
        <f>C11*2</f>
        <v>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FF"/>
  </sheetPr>
  <dimension ref="A2:E11"/>
  <sheetViews>
    <sheetView zoomScale="149" zoomScaleNormal="149" workbookViewId="0">
      <selection activeCell="A3" sqref="A3"/>
    </sheetView>
  </sheetViews>
  <sheetFormatPr defaultRowHeight="12.75"/>
  <cols>
    <col min="1" max="1" width="37.140625" style="7" customWidth="1"/>
    <col min="2" max="3" width="17.42578125" style="7" customWidth="1"/>
    <col min="4" max="4" width="13.42578125" style="7" customWidth="1"/>
    <col min="5" max="5" width="8.85546875" style="24"/>
  </cols>
  <sheetData>
    <row r="2" spans="1:4">
      <c r="A2" s="7" t="s">
        <v>72</v>
      </c>
    </row>
    <row r="3" spans="1:4">
      <c r="A3" s="7" t="s">
        <v>73</v>
      </c>
    </row>
    <row r="5" spans="1:4" ht="89.25">
      <c r="A5" s="62" t="s">
        <v>0</v>
      </c>
      <c r="B5" s="23" t="s">
        <v>64</v>
      </c>
      <c r="C5" s="23" t="s">
        <v>66</v>
      </c>
      <c r="D5" s="23" t="s">
        <v>85</v>
      </c>
    </row>
    <row r="6" spans="1:4">
      <c r="A6" s="45">
        <v>1</v>
      </c>
      <c r="B6" s="45">
        <v>2</v>
      </c>
      <c r="C6" s="45">
        <v>3</v>
      </c>
      <c r="D6" s="45">
        <v>4</v>
      </c>
    </row>
    <row r="7" spans="1:4">
      <c r="A7" s="21" t="s">
        <v>16</v>
      </c>
      <c r="B7" s="114" t="s">
        <v>65</v>
      </c>
      <c r="C7" s="20">
        <v>1</v>
      </c>
      <c r="D7" s="109">
        <f>C7*2</f>
        <v>2</v>
      </c>
    </row>
    <row r="8" spans="1:4" ht="13.9" customHeight="1">
      <c r="A8" s="21" t="s">
        <v>17</v>
      </c>
      <c r="B8" s="114" t="s">
        <v>65</v>
      </c>
      <c r="C8" s="20">
        <v>1</v>
      </c>
      <c r="D8" s="109">
        <f>C8*2</f>
        <v>2</v>
      </c>
    </row>
    <row r="9" spans="1:4">
      <c r="A9" s="21" t="s">
        <v>18</v>
      </c>
      <c r="B9" s="114" t="s">
        <v>65</v>
      </c>
      <c r="C9" s="20">
        <v>1</v>
      </c>
      <c r="D9" s="109">
        <f>C9*2</f>
        <v>2</v>
      </c>
    </row>
    <row r="10" spans="1:4">
      <c r="A10" s="21" t="s">
        <v>19</v>
      </c>
      <c r="B10" s="114" t="s">
        <v>65</v>
      </c>
      <c r="C10" s="20">
        <v>1</v>
      </c>
      <c r="D10" s="109">
        <f>C10*2</f>
        <v>2</v>
      </c>
    </row>
    <row r="11" spans="1:4">
      <c r="A11" s="68"/>
      <c r="B11" s="115"/>
      <c r="C11" s="68">
        <v>1</v>
      </c>
      <c r="D11" s="68">
        <f>C11*2</f>
        <v>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FF"/>
  </sheetPr>
  <dimension ref="A2:D15"/>
  <sheetViews>
    <sheetView zoomScale="129" zoomScaleNormal="129" workbookViewId="0">
      <selection activeCell="H15" sqref="H15"/>
    </sheetView>
  </sheetViews>
  <sheetFormatPr defaultRowHeight="12.75"/>
  <cols>
    <col min="1" max="1" width="38.7109375" style="7" customWidth="1"/>
    <col min="2" max="2" width="22.5703125" style="7" customWidth="1"/>
    <col min="3" max="3" width="16.140625" style="7" customWidth="1"/>
    <col min="4" max="4" width="14" style="7" customWidth="1"/>
  </cols>
  <sheetData>
    <row r="2" spans="1:4">
      <c r="A2" s="7" t="s">
        <v>74</v>
      </c>
    </row>
    <row r="4" spans="1:4" ht="91.9" customHeight="1">
      <c r="A4" s="62" t="s">
        <v>0</v>
      </c>
      <c r="B4" s="23" t="s">
        <v>7</v>
      </c>
      <c r="C4" s="49" t="s">
        <v>39</v>
      </c>
      <c r="D4" s="49" t="s">
        <v>86</v>
      </c>
    </row>
    <row r="5" spans="1:4">
      <c r="A5" s="45">
        <v>1</v>
      </c>
      <c r="B5" s="45">
        <v>2</v>
      </c>
      <c r="C5" s="45" t="s">
        <v>75</v>
      </c>
      <c r="D5" s="45">
        <v>4</v>
      </c>
    </row>
    <row r="6" spans="1:4" ht="31.15" customHeight="1">
      <c r="A6" s="21" t="s">
        <v>16</v>
      </c>
      <c r="B6" s="20">
        <v>0</v>
      </c>
      <c r="C6" s="108">
        <f>1-B6</f>
        <v>1</v>
      </c>
      <c r="D6" s="108">
        <f>C6*1</f>
        <v>1</v>
      </c>
    </row>
    <row r="7" spans="1:4" ht="27.6" customHeight="1">
      <c r="A7" s="21" t="s">
        <v>17</v>
      </c>
      <c r="B7" s="20">
        <v>0</v>
      </c>
      <c r="C7" s="108">
        <f>1-B7</f>
        <v>1</v>
      </c>
      <c r="D7" s="108">
        <f>C7*1</f>
        <v>1</v>
      </c>
    </row>
    <row r="8" spans="1:4" ht="30.6" customHeight="1">
      <c r="A8" s="21" t="s">
        <v>18</v>
      </c>
      <c r="B8" s="20">
        <v>0</v>
      </c>
      <c r="C8" s="108">
        <f>1-B8</f>
        <v>1</v>
      </c>
      <c r="D8" s="108">
        <f>C8*1</f>
        <v>1</v>
      </c>
    </row>
    <row r="9" spans="1:4" ht="31.9" customHeight="1">
      <c r="A9" s="21" t="s">
        <v>19</v>
      </c>
      <c r="B9" s="20">
        <v>0</v>
      </c>
      <c r="C9" s="108">
        <f>1-B9</f>
        <v>1</v>
      </c>
      <c r="D9" s="108">
        <f>C9*1</f>
        <v>1</v>
      </c>
    </row>
    <row r="10" spans="1:4" ht="29.45" hidden="1" customHeight="1">
      <c r="A10" s="21"/>
      <c r="B10" s="20"/>
      <c r="C10" s="111"/>
    </row>
    <row r="11" spans="1:4" ht="31.15" hidden="1" customHeight="1">
      <c r="A11" s="21"/>
      <c r="B11" s="20"/>
      <c r="C11" s="111"/>
    </row>
    <row r="12" spans="1:4" ht="31.9" hidden="1" customHeight="1">
      <c r="A12" s="21"/>
      <c r="B12" s="20"/>
      <c r="C12" s="111"/>
    </row>
    <row r="13" spans="1:4" ht="31.9" hidden="1" customHeight="1">
      <c r="A13" s="21"/>
      <c r="B13" s="20"/>
      <c r="C13" s="111"/>
    </row>
    <row r="14" spans="1:4" ht="31.9" hidden="1" customHeight="1">
      <c r="A14" s="21"/>
      <c r="B14" s="20"/>
      <c r="C14" s="112"/>
    </row>
    <row r="15" spans="1:4">
      <c r="B15" s="7">
        <v>0</v>
      </c>
      <c r="C15" s="113">
        <v>1</v>
      </c>
      <c r="D15" s="110">
        <f>C15*1</f>
        <v>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indexed="34"/>
  </sheetPr>
  <dimension ref="A2:C15"/>
  <sheetViews>
    <sheetView tabSelected="1" zoomScale="124" zoomScaleNormal="124" workbookViewId="0">
      <selection activeCell="A3" sqref="A3"/>
    </sheetView>
  </sheetViews>
  <sheetFormatPr defaultRowHeight="12.75"/>
  <cols>
    <col min="1" max="1" width="36.85546875" style="7" customWidth="1"/>
    <col min="2" max="2" width="17.42578125" style="7" customWidth="1"/>
    <col min="3" max="3" width="15" style="7" customWidth="1"/>
    <col min="4" max="4" width="12.7109375" customWidth="1"/>
  </cols>
  <sheetData>
    <row r="2" spans="1:3">
      <c r="A2" s="7" t="s">
        <v>161</v>
      </c>
    </row>
    <row r="4" spans="1:3" ht="67.900000000000006" customHeight="1">
      <c r="A4" s="62" t="s">
        <v>0</v>
      </c>
      <c r="B4" s="23" t="s">
        <v>90</v>
      </c>
      <c r="C4" s="23" t="s">
        <v>91</v>
      </c>
    </row>
    <row r="5" spans="1:3">
      <c r="A5" s="45">
        <v>1</v>
      </c>
      <c r="B5" s="45">
        <v>2</v>
      </c>
      <c r="C5" s="45">
        <v>3</v>
      </c>
    </row>
    <row r="6" spans="1:3" ht="31.15" customHeight="1">
      <c r="A6" s="21" t="s">
        <v>16</v>
      </c>
      <c r="B6" s="108">
        <f>'4.1'!D7+'4.2'!D7+'4.3'!D7+'4.4'!D6</f>
        <v>7</v>
      </c>
      <c r="C6" s="109">
        <f>2*B6</f>
        <v>14</v>
      </c>
    </row>
    <row r="7" spans="1:3" ht="27.6" customHeight="1">
      <c r="A7" s="21" t="s">
        <v>17</v>
      </c>
      <c r="B7" s="108">
        <f>'4.1'!D8+'4.2'!D8+'4.3'!D8+'4.4'!D7</f>
        <v>7</v>
      </c>
      <c r="C7" s="109">
        <f>2*B7</f>
        <v>14</v>
      </c>
    </row>
    <row r="8" spans="1:3" ht="30.6" customHeight="1">
      <c r="A8" s="21" t="s">
        <v>18</v>
      </c>
      <c r="B8" s="108">
        <f>'4.1'!D9+'4.2'!D9+'4.3'!D9+'4.4'!D8</f>
        <v>7</v>
      </c>
      <c r="C8" s="109">
        <f>2*B8</f>
        <v>14</v>
      </c>
    </row>
    <row r="9" spans="1:3" ht="31.9" customHeight="1">
      <c r="A9" s="21" t="s">
        <v>19</v>
      </c>
      <c r="B9" s="108">
        <f>'4.1'!D10+'4.2'!D10+'4.3'!D10+'4.4'!D9</f>
        <v>7</v>
      </c>
      <c r="C9" s="109">
        <f>2*B9</f>
        <v>14</v>
      </c>
    </row>
    <row r="10" spans="1:3" ht="29.45" hidden="1" customHeight="1">
      <c r="A10" s="21"/>
      <c r="B10" s="69"/>
      <c r="C10" s="35"/>
    </row>
    <row r="11" spans="1:3" ht="31.15" hidden="1" customHeight="1">
      <c r="A11" s="21"/>
      <c r="B11" s="69"/>
      <c r="C11" s="35"/>
    </row>
    <row r="12" spans="1:3" ht="31.9" hidden="1" customHeight="1">
      <c r="A12" s="21"/>
      <c r="B12" s="69"/>
      <c r="C12" s="35"/>
    </row>
    <row r="13" spans="1:3" ht="31.9" hidden="1" customHeight="1">
      <c r="A13" s="21"/>
      <c r="B13" s="69"/>
      <c r="C13" s="35"/>
    </row>
    <row r="14" spans="1:3" ht="31.9" hidden="1" customHeight="1">
      <c r="A14" s="21"/>
      <c r="B14" s="69"/>
      <c r="C14" s="35"/>
    </row>
    <row r="15" spans="1:3">
      <c r="A15" s="7" t="s">
        <v>4</v>
      </c>
      <c r="B15" s="110">
        <f>'4.1'!D11+'4.2'!D11+'4.3'!D11+'4.4'!D15</f>
        <v>7</v>
      </c>
      <c r="C15" s="7">
        <f>B15*2</f>
        <v>14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2:H25"/>
  <sheetViews>
    <sheetView topLeftCell="A10" zoomScale="124" zoomScaleNormal="124" workbookViewId="0">
      <selection activeCell="A41" sqref="A41"/>
    </sheetView>
  </sheetViews>
  <sheetFormatPr defaultRowHeight="12.75"/>
  <cols>
    <col min="1" max="1" width="21.7109375" style="7" customWidth="1"/>
    <col min="2" max="2" width="14" style="7" customWidth="1"/>
    <col min="3" max="3" width="20.140625" style="7" customWidth="1"/>
    <col min="4" max="4" width="19.28515625" style="7" customWidth="1"/>
    <col min="5" max="5" width="8" customWidth="1"/>
    <col min="6" max="6" width="8.28515625" customWidth="1"/>
    <col min="7" max="7" width="3.28515625" customWidth="1"/>
    <col min="8" max="8" width="18.42578125" customWidth="1"/>
  </cols>
  <sheetData>
    <row r="2" spans="1:8">
      <c r="A2" s="7" t="s">
        <v>76</v>
      </c>
    </row>
    <row r="4" spans="1:8" ht="116.45" customHeight="1">
      <c r="A4" s="62" t="s">
        <v>0</v>
      </c>
      <c r="B4" s="105" t="s">
        <v>92</v>
      </c>
      <c r="C4" s="23" t="s">
        <v>93</v>
      </c>
      <c r="D4" s="56" t="s">
        <v>9</v>
      </c>
      <c r="E4" s="40"/>
      <c r="F4" s="9"/>
    </row>
    <row r="5" spans="1:8">
      <c r="A5" s="45">
        <v>1</v>
      </c>
      <c r="B5" s="106">
        <v>2</v>
      </c>
      <c r="C5" s="34">
        <v>3</v>
      </c>
      <c r="D5" s="34">
        <v>4</v>
      </c>
      <c r="E5" s="41"/>
      <c r="F5" s="11"/>
    </row>
    <row r="6" spans="1:8" ht="31.15" customHeight="1">
      <c r="A6" s="21" t="s">
        <v>16</v>
      </c>
      <c r="B6" s="107">
        <f>'1 качество бюдж.планир.'!C6+'2 качество исполн.бюдж.'!C6+'3 качество управл.долг.обяз.'!C6+'4 степень открытости'!C6</f>
        <v>27.999894279235779</v>
      </c>
      <c r="C6" s="74">
        <f>B6-C12</f>
        <v>-1.6433381192814132</v>
      </c>
      <c r="D6" s="75">
        <f>POWER(C6,2)</f>
        <v>2.700560174283372</v>
      </c>
      <c r="E6" s="42"/>
      <c r="F6" s="28"/>
      <c r="G6" s="44" t="s">
        <v>94</v>
      </c>
      <c r="H6" s="7" t="s">
        <v>97</v>
      </c>
    </row>
    <row r="7" spans="1:8" ht="27.6" customHeight="1">
      <c r="A7" s="21" t="s">
        <v>17</v>
      </c>
      <c r="B7" s="107">
        <f>'1 качество бюдж.планир.'!C7+'2 качество исполн.бюдж.'!B7+'3 качество управл.долг.обяз.'!C7+'4 степень открытости'!C7</f>
        <v>23.581052977167488</v>
      </c>
      <c r="C7" s="74">
        <f>B7-C12</f>
        <v>-6.062179421349704</v>
      </c>
      <c r="D7" s="75">
        <f t="shared" ref="D7:D9" si="0">POWER(C7,2)</f>
        <v>36.75001933663583</v>
      </c>
      <c r="E7" s="42"/>
      <c r="F7" s="6"/>
      <c r="G7" s="44" t="s">
        <v>95</v>
      </c>
      <c r="H7" s="7" t="s">
        <v>97</v>
      </c>
    </row>
    <row r="8" spans="1:8" ht="30.6" customHeight="1">
      <c r="A8" s="21" t="s">
        <v>18</v>
      </c>
      <c r="B8" s="107">
        <f>'1 качество бюдж.планир.'!C8+'2 качество исполн.бюдж.'!C8+'3 качество управл.долг.обяз.'!C8+'4 степень открытости'!C8</f>
        <v>31.986480161926174</v>
      </c>
      <c r="C8" s="74">
        <f>B8-C12</f>
        <v>2.3432477634089821</v>
      </c>
      <c r="D8" s="75">
        <f t="shared" si="0"/>
        <v>5.4908100807211966</v>
      </c>
      <c r="E8" s="42"/>
      <c r="F8" s="6"/>
      <c r="G8" s="44" t="s">
        <v>94</v>
      </c>
      <c r="H8" s="7" t="s">
        <v>97</v>
      </c>
    </row>
    <row r="9" spans="1:8" ht="31.9" customHeight="1">
      <c r="A9" s="21" t="s">
        <v>19</v>
      </c>
      <c r="B9" s="107">
        <f>'1 качество бюдж.планир.'!C9+'2 качество исполн.бюдж.'!C9+'3 качество управл.долг.обяз.'!C9+'4 степень открытости'!C9</f>
        <v>35.005502175739331</v>
      </c>
      <c r="C9" s="74">
        <f>B9-C12</f>
        <v>5.3622697772221386</v>
      </c>
      <c r="D9" s="75">
        <f t="shared" si="0"/>
        <v>28.753937163709963</v>
      </c>
      <c r="E9" s="42"/>
      <c r="F9" s="6"/>
      <c r="G9" s="44" t="s">
        <v>96</v>
      </c>
      <c r="H9" s="7" t="s">
        <v>97</v>
      </c>
    </row>
    <row r="10" spans="1:8">
      <c r="A10" s="7" t="s">
        <v>4</v>
      </c>
      <c r="B10" s="76"/>
      <c r="C10" s="76"/>
      <c r="D10" s="76"/>
      <c r="E10" s="27"/>
      <c r="F10" s="8"/>
    </row>
    <row r="11" spans="1:8">
      <c r="B11" s="27"/>
      <c r="C11" s="27"/>
      <c r="D11" s="27"/>
      <c r="E11" s="31"/>
      <c r="F11" s="8"/>
    </row>
    <row r="12" spans="1:8" ht="41.45" customHeight="1">
      <c r="A12" s="137" t="s">
        <v>77</v>
      </c>
      <c r="B12" s="138"/>
      <c r="C12" s="77">
        <f>AVERAGE(B6:B9)</f>
        <v>29.643232398517192</v>
      </c>
      <c r="D12" s="78"/>
      <c r="E12" s="29"/>
      <c r="F12" s="29"/>
    </row>
    <row r="13" spans="1:8" s="37" customFormat="1" ht="29.45" customHeight="1">
      <c r="A13" s="139" t="s">
        <v>14</v>
      </c>
      <c r="B13" s="140"/>
      <c r="C13" s="79">
        <f>AVERAGE(D6:D9)</f>
        <v>18.423831688837591</v>
      </c>
      <c r="D13" s="80"/>
      <c r="E13" s="36"/>
      <c r="F13" s="36"/>
    </row>
    <row r="14" spans="1:8" ht="46.15" customHeight="1">
      <c r="A14" s="141" t="s">
        <v>78</v>
      </c>
      <c r="B14" s="142"/>
      <c r="C14" s="81">
        <f>SQRT(C13)</f>
        <v>4.2922991145582561</v>
      </c>
      <c r="D14" s="82"/>
      <c r="E14" s="38"/>
      <c r="F14" s="39"/>
    </row>
    <row r="15" spans="1:8">
      <c r="B15" s="27"/>
      <c r="C15" s="27"/>
      <c r="D15" s="27"/>
      <c r="E15" s="8"/>
      <c r="F15" s="8"/>
    </row>
    <row r="16" spans="1:8">
      <c r="A16" s="32" t="s">
        <v>79</v>
      </c>
      <c r="B16" s="33" t="s">
        <v>10</v>
      </c>
      <c r="C16" s="33"/>
      <c r="D16" s="33"/>
      <c r="E16" s="43">
        <f>C12+2/3*C14</f>
        <v>32.504765141556028</v>
      </c>
      <c r="F16" s="43">
        <v>100</v>
      </c>
    </row>
    <row r="17" spans="1:6">
      <c r="A17" s="32" t="s">
        <v>80</v>
      </c>
      <c r="B17" s="33" t="s">
        <v>11</v>
      </c>
      <c r="C17" s="33"/>
      <c r="D17" s="33"/>
      <c r="E17" s="43">
        <f>C12-2/3*C14</f>
        <v>26.781699655478356</v>
      </c>
      <c r="F17" s="43">
        <f>E16</f>
        <v>32.504765141556028</v>
      </c>
    </row>
    <row r="18" spans="1:6">
      <c r="A18" s="32" t="s">
        <v>81</v>
      </c>
      <c r="B18" s="33" t="s">
        <v>12</v>
      </c>
      <c r="C18" s="33"/>
      <c r="D18" s="33"/>
      <c r="E18" s="43">
        <v>0</v>
      </c>
      <c r="F18" s="43">
        <f>E17</f>
        <v>26.781699655478356</v>
      </c>
    </row>
    <row r="19" spans="1:6">
      <c r="B19" s="27"/>
      <c r="C19" s="27"/>
      <c r="D19" s="27"/>
      <c r="E19" s="8"/>
      <c r="F19" s="8"/>
    </row>
    <row r="20" spans="1:6">
      <c r="B20" s="27"/>
      <c r="C20" s="27"/>
      <c r="D20" s="27"/>
      <c r="E20" s="8"/>
      <c r="F20" s="8"/>
    </row>
    <row r="21" spans="1:6">
      <c r="B21" s="27"/>
      <c r="C21" s="27"/>
      <c r="D21" s="27"/>
      <c r="E21" s="8"/>
      <c r="F21" s="8"/>
    </row>
    <row r="22" spans="1:6">
      <c r="B22" s="27"/>
      <c r="C22" s="27"/>
      <c r="D22" s="27"/>
      <c r="E22" s="8"/>
      <c r="F22" s="8"/>
    </row>
    <row r="23" spans="1:6">
      <c r="B23" s="27"/>
      <c r="C23" s="27"/>
      <c r="D23" s="27"/>
      <c r="E23" s="8"/>
      <c r="F23" s="8"/>
    </row>
    <row r="24" spans="1:6">
      <c r="B24" s="27"/>
      <c r="C24" s="27"/>
      <c r="D24" s="27"/>
      <c r="E24" s="8"/>
      <c r="F24" s="8"/>
    </row>
    <row r="25" spans="1:6">
      <c r="B25" s="27"/>
      <c r="C25" s="27"/>
      <c r="D25" s="27"/>
      <c r="E25" s="8"/>
      <c r="F25" s="8"/>
    </row>
  </sheetData>
  <mergeCells count="3">
    <mergeCell ref="A12:B12"/>
    <mergeCell ref="A13:B13"/>
    <mergeCell ref="A14:B14"/>
  </mergeCells>
  <phoneticPr fontId="0" type="noConversion"/>
  <pageMargins left="0.75" right="0.75" top="1" bottom="1" header="0.5" footer="0.5"/>
  <pageSetup paperSize="9" scale="6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FFFF"/>
    <pageSetUpPr fitToPage="1"/>
  </sheetPr>
  <dimension ref="A2:AO19"/>
  <sheetViews>
    <sheetView zoomScale="114" zoomScaleNormal="114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7" sqref="F17"/>
    </sheetView>
  </sheetViews>
  <sheetFormatPr defaultRowHeight="12.75"/>
  <cols>
    <col min="1" max="1" width="21.7109375" customWidth="1"/>
    <col min="2" max="2" width="11.85546875" customWidth="1"/>
    <col min="3" max="3" width="12.28515625" customWidth="1"/>
    <col min="4" max="4" width="15.7109375" style="7" customWidth="1"/>
    <col min="5" max="5" width="7.7109375" style="7" customWidth="1"/>
    <col min="6" max="6" width="15.85546875" style="7" customWidth="1"/>
    <col min="7" max="7" width="12.85546875" style="7" customWidth="1"/>
    <col min="8" max="8" width="14.42578125" style="7" customWidth="1"/>
    <col min="9" max="9" width="15" style="7" customWidth="1"/>
    <col min="10" max="10" width="8.140625" style="98" customWidth="1"/>
    <col min="11" max="11" width="14.85546875" style="7" customWidth="1"/>
    <col min="12" max="12" width="14.140625" style="7" customWidth="1"/>
    <col min="13" max="13" width="14.85546875" style="7" customWidth="1"/>
    <col min="14" max="14" width="22.28515625" style="7" customWidth="1"/>
    <col min="15" max="15" width="8.28515625" style="7" customWidth="1"/>
    <col min="16" max="16" width="13" style="7" customWidth="1"/>
    <col min="17" max="17" width="14.7109375" style="7" customWidth="1"/>
    <col min="18" max="18" width="13" style="7" customWidth="1"/>
    <col min="19" max="19" width="16.28515625" style="7" customWidth="1"/>
    <col min="20" max="20" width="7.5703125" style="7" customWidth="1"/>
    <col min="21" max="21" width="10.28515625" style="7" customWidth="1"/>
    <col min="22" max="22" width="16.5703125" style="7" customWidth="1"/>
    <col min="23" max="23" width="14.28515625" style="7" customWidth="1"/>
    <col min="24" max="24" width="13.7109375" style="7" customWidth="1"/>
    <col min="25" max="25" width="18" style="7" customWidth="1"/>
    <col min="26" max="26" width="9.42578125" style="7" customWidth="1"/>
    <col min="27" max="27" width="16.7109375" style="7" customWidth="1"/>
    <col min="28" max="28" width="15" style="7" customWidth="1"/>
    <col min="29" max="29" width="16.28515625" style="7" customWidth="1"/>
    <col min="30" max="30" width="14.5703125" customWidth="1"/>
    <col min="31" max="31" width="15" customWidth="1"/>
  </cols>
  <sheetData>
    <row r="2" spans="1:41">
      <c r="A2" s="7" t="s">
        <v>99</v>
      </c>
      <c r="B2" s="7"/>
      <c r="C2" s="7"/>
    </row>
    <row r="3" spans="1:41">
      <c r="A3" s="7" t="s">
        <v>98</v>
      </c>
      <c r="B3" s="7"/>
      <c r="C3" s="7"/>
    </row>
    <row r="5" spans="1:41" ht="174.6" customHeight="1">
      <c r="A5" s="15" t="s">
        <v>0</v>
      </c>
      <c r="B5" s="134" t="s">
        <v>159</v>
      </c>
      <c r="C5" s="134" t="s">
        <v>160</v>
      </c>
      <c r="D5" s="50" t="s">
        <v>108</v>
      </c>
      <c r="E5" s="57" t="s">
        <v>103</v>
      </c>
      <c r="F5" s="23" t="s">
        <v>140</v>
      </c>
      <c r="G5" s="23" t="s">
        <v>139</v>
      </c>
      <c r="H5" s="23" t="s">
        <v>141</v>
      </c>
      <c r="I5" s="50" t="s">
        <v>109</v>
      </c>
      <c r="J5" s="57" t="s">
        <v>103</v>
      </c>
      <c r="K5" s="23" t="s">
        <v>133</v>
      </c>
      <c r="L5" s="23" t="s">
        <v>110</v>
      </c>
      <c r="M5" s="49" t="s">
        <v>111</v>
      </c>
      <c r="N5" s="60" t="s">
        <v>112</v>
      </c>
      <c r="O5" s="57" t="s">
        <v>103</v>
      </c>
      <c r="P5" s="23" t="s">
        <v>117</v>
      </c>
      <c r="Q5" s="23" t="s">
        <v>118</v>
      </c>
      <c r="R5" s="23" t="s">
        <v>119</v>
      </c>
      <c r="S5" s="50" t="s">
        <v>128</v>
      </c>
      <c r="T5" s="57" t="s">
        <v>103</v>
      </c>
      <c r="U5" s="23" t="s">
        <v>125</v>
      </c>
      <c r="V5" s="23" t="s">
        <v>126</v>
      </c>
      <c r="W5" s="23" t="s">
        <v>127</v>
      </c>
      <c r="X5" s="23" t="s">
        <v>129</v>
      </c>
      <c r="Y5" s="50" t="s">
        <v>136</v>
      </c>
      <c r="Z5" s="57" t="s">
        <v>103</v>
      </c>
      <c r="AA5" s="23" t="s">
        <v>137</v>
      </c>
      <c r="AB5" s="23" t="s">
        <v>134</v>
      </c>
      <c r="AC5" s="23" t="s">
        <v>132</v>
      </c>
    </row>
    <row r="6" spans="1:41">
      <c r="A6" s="2"/>
      <c r="B6" s="135"/>
      <c r="C6" s="135"/>
      <c r="D6" s="51" t="s">
        <v>154</v>
      </c>
      <c r="E6" s="58" t="s">
        <v>104</v>
      </c>
      <c r="F6" s="45" t="s">
        <v>105</v>
      </c>
      <c r="G6" s="45" t="s">
        <v>106</v>
      </c>
      <c r="H6" s="45" t="s">
        <v>107</v>
      </c>
      <c r="I6" s="51" t="s">
        <v>155</v>
      </c>
      <c r="J6" s="58" t="s">
        <v>104</v>
      </c>
      <c r="K6" s="45" t="s">
        <v>100</v>
      </c>
      <c r="L6" s="45" t="s">
        <v>101</v>
      </c>
      <c r="M6" s="45" t="s">
        <v>102</v>
      </c>
      <c r="N6" s="51" t="s">
        <v>156</v>
      </c>
      <c r="O6" s="58" t="s">
        <v>116</v>
      </c>
      <c r="P6" s="45" t="s">
        <v>113</v>
      </c>
      <c r="Q6" s="45" t="s">
        <v>114</v>
      </c>
      <c r="R6" s="45" t="s">
        <v>115</v>
      </c>
      <c r="S6" s="51" t="s">
        <v>157</v>
      </c>
      <c r="T6" s="58" t="s">
        <v>120</v>
      </c>
      <c r="U6" s="45" t="s">
        <v>121</v>
      </c>
      <c r="V6" s="45" t="s">
        <v>122</v>
      </c>
      <c r="W6" s="45" t="s">
        <v>123</v>
      </c>
      <c r="X6" s="45" t="s">
        <v>124</v>
      </c>
      <c r="Y6" s="51" t="s">
        <v>158</v>
      </c>
      <c r="Z6" s="58" t="s">
        <v>104</v>
      </c>
      <c r="AA6" s="45" t="s">
        <v>130</v>
      </c>
      <c r="AB6" s="45" t="s">
        <v>131</v>
      </c>
      <c r="AC6" s="45" t="s">
        <v>135</v>
      </c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</row>
    <row r="7" spans="1:41" ht="31.15" customHeight="1">
      <c r="A7" s="21" t="s">
        <v>16</v>
      </c>
      <c r="B7" s="136">
        <v>0</v>
      </c>
      <c r="C7" s="136">
        <v>0</v>
      </c>
      <c r="D7" s="52">
        <f>F7/(G7+H7)</f>
        <v>0.65414144945091857</v>
      </c>
      <c r="E7" s="59"/>
      <c r="F7" s="99">
        <f>2500000+168108.35</f>
        <v>2668108.35</v>
      </c>
      <c r="G7" s="99">
        <v>538894.19999999995</v>
      </c>
      <c r="H7" s="99">
        <v>3539900</v>
      </c>
      <c r="I7" s="53">
        <f>K7/(L7-M7)</f>
        <v>7.6101007297985968E-2</v>
      </c>
      <c r="J7" s="53"/>
      <c r="K7" s="99">
        <f>'3.1'!B6</f>
        <v>3485900</v>
      </c>
      <c r="L7" s="99">
        <v>93880692.609999999</v>
      </c>
      <c r="M7" s="99">
        <v>48074465.810000002</v>
      </c>
      <c r="N7" s="53">
        <f>P7/(Q7-R7)</f>
        <v>6.6070286902640367E-5</v>
      </c>
      <c r="O7" s="100"/>
      <c r="P7" s="20">
        <v>6102.59</v>
      </c>
      <c r="Q7" s="101">
        <f>'1.1'!C7</f>
        <v>92941420.329999998</v>
      </c>
      <c r="R7" s="101">
        <v>576300</v>
      </c>
      <c r="S7" s="53">
        <f>((U7-V7)/(W7-X7))*100</f>
        <v>0</v>
      </c>
      <c r="T7" s="100"/>
      <c r="U7" s="101">
        <v>0</v>
      </c>
      <c r="V7" s="101">
        <v>0</v>
      </c>
      <c r="W7" s="101">
        <f>L7</f>
        <v>93880692.609999999</v>
      </c>
      <c r="X7" s="101">
        <f>M7</f>
        <v>48074465.810000002</v>
      </c>
      <c r="Y7" s="53">
        <v>0</v>
      </c>
      <c r="Z7" s="66"/>
      <c r="AA7" s="101">
        <f>L7</f>
        <v>93880692.609999999</v>
      </c>
      <c r="AB7" s="101">
        <v>0</v>
      </c>
      <c r="AC7" s="101">
        <v>0</v>
      </c>
      <c r="AE7" s="65"/>
    </row>
    <row r="8" spans="1:41" ht="27.6" customHeight="1">
      <c r="A8" s="21" t="s">
        <v>17</v>
      </c>
      <c r="B8" s="136">
        <v>0</v>
      </c>
      <c r="C8" s="136">
        <v>0</v>
      </c>
      <c r="D8" s="52">
        <f>F8/(G8+H8)</f>
        <v>0.31929459719744857</v>
      </c>
      <c r="E8" s="59"/>
      <c r="F8" s="99">
        <v>342000</v>
      </c>
      <c r="G8" s="99">
        <v>729111.14</v>
      </c>
      <c r="H8" s="99">
        <v>342000</v>
      </c>
      <c r="I8" s="53">
        <f>K8/(L8-M8)</f>
        <v>0.15355066700274511</v>
      </c>
      <c r="J8" s="53"/>
      <c r="K8" s="99">
        <f>'3.1'!B7</f>
        <v>658000</v>
      </c>
      <c r="L8" s="99">
        <v>22386957.59</v>
      </c>
      <c r="M8" s="99">
        <v>18101727.100000001</v>
      </c>
      <c r="N8" s="53">
        <f>P8/(Q8-R8)</f>
        <v>3.9791401863145922E-5</v>
      </c>
      <c r="O8" s="100"/>
      <c r="P8" s="20">
        <v>841.81</v>
      </c>
      <c r="Q8" s="101">
        <f>'1.1'!C8</f>
        <v>21339775.34</v>
      </c>
      <c r="R8" s="101">
        <v>184200</v>
      </c>
      <c r="S8" s="53">
        <f>((U8-V8)/(W8-X8))*100</f>
        <v>0</v>
      </c>
      <c r="T8" s="100"/>
      <c r="U8" s="101">
        <v>0</v>
      </c>
      <c r="V8" s="101">
        <v>0</v>
      </c>
      <c r="W8" s="101">
        <f t="shared" ref="W8:W16" si="0">L8</f>
        <v>22386957.59</v>
      </c>
      <c r="X8" s="101">
        <f t="shared" ref="X8:X16" si="1">M8</f>
        <v>18101727.100000001</v>
      </c>
      <c r="Y8" s="53">
        <f>((AB8/AA8)*100)/AC8</f>
        <v>0.70462649091007312</v>
      </c>
      <c r="Z8" s="66"/>
      <c r="AA8" s="101">
        <f>L8</f>
        <v>22386957.59</v>
      </c>
      <c r="AB8" s="101">
        <v>4448393.03</v>
      </c>
      <c r="AC8" s="101">
        <v>28.2</v>
      </c>
    </row>
    <row r="9" spans="1:41" ht="30.6" customHeight="1">
      <c r="A9" s="21" t="s">
        <v>18</v>
      </c>
      <c r="B9" s="136">
        <v>1</v>
      </c>
      <c r="C9" s="136">
        <v>0</v>
      </c>
      <c r="D9" s="52">
        <f>F9/(G9+H9)</f>
        <v>0</v>
      </c>
      <c r="E9" s="59"/>
      <c r="F9" s="99">
        <v>0</v>
      </c>
      <c r="G9" s="99">
        <v>1342000</v>
      </c>
      <c r="H9" s="99">
        <v>0</v>
      </c>
      <c r="I9" s="53">
        <f>K9/(L9-M9)</f>
        <v>0</v>
      </c>
      <c r="J9" s="53"/>
      <c r="K9" s="99">
        <f>'3.1'!B8</f>
        <v>0</v>
      </c>
      <c r="L9" s="99">
        <v>22973343.390000001</v>
      </c>
      <c r="M9" s="99">
        <v>14981627.73</v>
      </c>
      <c r="N9" s="53">
        <f>P9/(Q9-R9)</f>
        <v>0</v>
      </c>
      <c r="O9" s="100"/>
      <c r="P9" s="20">
        <v>0</v>
      </c>
      <c r="Q9" s="101">
        <f>'1.1'!C9</f>
        <v>23316746.93</v>
      </c>
      <c r="R9" s="101">
        <v>222900</v>
      </c>
      <c r="S9" s="53">
        <f>((U9-V9)/(W9-X9))*100</f>
        <v>4.2969939698780522</v>
      </c>
      <c r="T9" s="100"/>
      <c r="U9" s="101">
        <v>343403.54</v>
      </c>
      <c r="V9" s="101">
        <v>0</v>
      </c>
      <c r="W9" s="101">
        <f t="shared" si="0"/>
        <v>22973343.390000001</v>
      </c>
      <c r="X9" s="101">
        <f t="shared" si="1"/>
        <v>14981627.73</v>
      </c>
      <c r="Y9" s="53">
        <f>((AB9/AA9)*100)/AC9</f>
        <v>1.4751024037049207</v>
      </c>
      <c r="Z9" s="67" t="s">
        <v>138</v>
      </c>
      <c r="AA9" s="101">
        <f>L9</f>
        <v>22973343.390000001</v>
      </c>
      <c r="AB9" s="101">
        <v>5472917.5</v>
      </c>
      <c r="AC9" s="101">
        <v>16.149999999999999</v>
      </c>
    </row>
    <row r="10" spans="1:41" ht="31.9" customHeight="1">
      <c r="A10" s="21" t="s">
        <v>19</v>
      </c>
      <c r="B10" s="136">
        <v>1</v>
      </c>
      <c r="C10" s="136">
        <v>0</v>
      </c>
      <c r="D10" s="52">
        <f>F10/(G10+H10)</f>
        <v>0</v>
      </c>
      <c r="E10" s="59"/>
      <c r="F10" s="99">
        <v>0</v>
      </c>
      <c r="G10" s="99">
        <v>431817</v>
      </c>
      <c r="H10" s="99">
        <v>0</v>
      </c>
      <c r="I10" s="53">
        <f>K10/(L10-M10)</f>
        <v>0</v>
      </c>
      <c r="J10" s="53"/>
      <c r="K10" s="99">
        <f>'3.1'!B9</f>
        <v>0</v>
      </c>
      <c r="L10" s="99">
        <v>11936190.800000001</v>
      </c>
      <c r="M10" s="99">
        <v>7910676</v>
      </c>
      <c r="N10" s="53">
        <f>P10/(Q10-R10)</f>
        <v>0</v>
      </c>
      <c r="O10" s="100"/>
      <c r="P10" s="20">
        <v>0</v>
      </c>
      <c r="Q10" s="101">
        <f>'1.1'!C10</f>
        <v>11740088.65</v>
      </c>
      <c r="R10" s="101">
        <v>104000</v>
      </c>
      <c r="S10" s="53">
        <f>((U10-V10)/(W10-X10))*100</f>
        <v>0</v>
      </c>
      <c r="T10" s="100"/>
      <c r="U10" s="101">
        <v>0</v>
      </c>
      <c r="V10" s="101">
        <v>0</v>
      </c>
      <c r="W10" s="101">
        <f t="shared" si="0"/>
        <v>11936190.800000001</v>
      </c>
      <c r="X10" s="101">
        <f t="shared" si="1"/>
        <v>7910676</v>
      </c>
      <c r="Y10" s="53">
        <f>((AB10/AA10)*100)/AC10</f>
        <v>1.3097087436582358</v>
      </c>
      <c r="Z10" s="67" t="s">
        <v>138</v>
      </c>
      <c r="AA10" s="101">
        <f>L10</f>
        <v>11936190.800000001</v>
      </c>
      <c r="AB10" s="101">
        <v>3378276.92</v>
      </c>
      <c r="AC10" s="101">
        <v>21.61</v>
      </c>
    </row>
    <row r="11" spans="1:41" ht="29.45" hidden="1" customHeight="1">
      <c r="A11" s="13"/>
      <c r="B11" s="13"/>
      <c r="C11" s="13"/>
      <c r="D11" s="47"/>
      <c r="E11" s="47"/>
      <c r="F11" s="99"/>
      <c r="G11" s="102"/>
      <c r="H11" s="99"/>
      <c r="I11" s="48"/>
      <c r="J11" s="54"/>
      <c r="K11" s="99"/>
      <c r="L11" s="99"/>
      <c r="M11" s="99"/>
      <c r="N11" s="48"/>
      <c r="O11" s="101"/>
      <c r="R11" s="22"/>
      <c r="S11" s="22"/>
      <c r="T11" s="22"/>
      <c r="U11" s="22"/>
      <c r="V11" s="22"/>
      <c r="W11" s="101">
        <f t="shared" si="0"/>
        <v>0</v>
      </c>
      <c r="X11" s="101">
        <f t="shared" si="1"/>
        <v>0</v>
      </c>
      <c r="Y11" s="22"/>
      <c r="Z11" s="22"/>
      <c r="AA11" s="101"/>
      <c r="AB11" s="22"/>
      <c r="AC11" s="22"/>
    </row>
    <row r="12" spans="1:41" ht="31.15" hidden="1" customHeight="1">
      <c r="A12" s="13"/>
      <c r="B12" s="13"/>
      <c r="C12" s="13"/>
      <c r="D12" s="47"/>
      <c r="E12" s="47"/>
      <c r="F12" s="47"/>
      <c r="G12" s="102"/>
      <c r="H12" s="99"/>
      <c r="I12" s="48"/>
      <c r="J12" s="54"/>
      <c r="K12" s="99"/>
      <c r="L12" s="99"/>
      <c r="M12" s="99"/>
      <c r="N12" s="48"/>
      <c r="O12" s="101"/>
      <c r="R12" s="22"/>
      <c r="S12" s="22"/>
      <c r="T12" s="22"/>
      <c r="U12" s="22"/>
      <c r="V12" s="22"/>
      <c r="W12" s="101">
        <f t="shared" si="0"/>
        <v>0</v>
      </c>
      <c r="X12" s="101">
        <f t="shared" si="1"/>
        <v>0</v>
      </c>
      <c r="Y12" s="22"/>
      <c r="Z12" s="22"/>
      <c r="AA12" s="101"/>
      <c r="AB12" s="22"/>
      <c r="AC12" s="22"/>
    </row>
    <row r="13" spans="1:41" ht="31.9" hidden="1" customHeight="1">
      <c r="A13" s="13"/>
      <c r="B13" s="13"/>
      <c r="C13" s="13"/>
      <c r="D13" s="47"/>
      <c r="E13" s="47"/>
      <c r="F13" s="99"/>
      <c r="G13" s="102"/>
      <c r="H13" s="99"/>
      <c r="I13" s="48"/>
      <c r="J13" s="54"/>
      <c r="K13" s="99"/>
      <c r="L13" s="99"/>
      <c r="M13" s="99"/>
      <c r="N13" s="48"/>
      <c r="O13" s="101"/>
      <c r="R13" s="22"/>
      <c r="S13" s="22"/>
      <c r="T13" s="22"/>
      <c r="U13" s="22"/>
      <c r="V13" s="22"/>
      <c r="W13" s="101">
        <f t="shared" si="0"/>
        <v>0</v>
      </c>
      <c r="X13" s="101">
        <f t="shared" si="1"/>
        <v>0</v>
      </c>
      <c r="Y13" s="22"/>
      <c r="Z13" s="22"/>
      <c r="AA13" s="101"/>
      <c r="AB13" s="22"/>
      <c r="AC13" s="22"/>
    </row>
    <row r="14" spans="1:41" ht="31.9" hidden="1" customHeight="1">
      <c r="A14" s="13"/>
      <c r="B14" s="13"/>
      <c r="C14" s="13"/>
      <c r="D14" s="47"/>
      <c r="E14" s="47"/>
      <c r="F14" s="99"/>
      <c r="G14" s="102"/>
      <c r="H14" s="99"/>
      <c r="I14" s="48"/>
      <c r="J14" s="54"/>
      <c r="K14" s="99"/>
      <c r="L14" s="99"/>
      <c r="M14" s="99"/>
      <c r="N14" s="48"/>
      <c r="O14" s="101"/>
      <c r="R14" s="22"/>
      <c r="S14" s="22"/>
      <c r="T14" s="22"/>
      <c r="U14" s="22"/>
      <c r="V14" s="22"/>
      <c r="W14" s="101">
        <f t="shared" si="0"/>
        <v>0</v>
      </c>
      <c r="X14" s="101">
        <f t="shared" si="1"/>
        <v>0</v>
      </c>
      <c r="Y14" s="22"/>
      <c r="Z14" s="22"/>
      <c r="AA14" s="101"/>
      <c r="AB14" s="22"/>
      <c r="AC14" s="22"/>
    </row>
    <row r="15" spans="1:41" ht="31.9" hidden="1" customHeight="1">
      <c r="A15" s="3"/>
      <c r="B15" s="3"/>
      <c r="C15" s="3"/>
      <c r="D15" s="47"/>
      <c r="E15" s="47"/>
      <c r="F15" s="99"/>
      <c r="G15" s="102"/>
      <c r="H15" s="99"/>
      <c r="I15" s="48"/>
      <c r="J15" s="54"/>
      <c r="K15" s="99"/>
      <c r="L15" s="99"/>
      <c r="M15" s="99"/>
      <c r="N15" s="48"/>
      <c r="O15" s="101"/>
      <c r="R15" s="22"/>
      <c r="S15" s="22"/>
      <c r="T15" s="22"/>
      <c r="U15" s="22"/>
      <c r="V15" s="22"/>
      <c r="W15" s="101">
        <f t="shared" si="0"/>
        <v>0</v>
      </c>
      <c r="X15" s="101">
        <f t="shared" si="1"/>
        <v>0</v>
      </c>
      <c r="Y15" s="22"/>
      <c r="Z15" s="22"/>
      <c r="AA15" s="103"/>
      <c r="AB15" s="22"/>
      <c r="AC15" s="22"/>
    </row>
    <row r="16" spans="1:41" s="7" customFormat="1">
      <c r="A16" s="7" t="s">
        <v>4</v>
      </c>
      <c r="B16" s="7">
        <v>2</v>
      </c>
      <c r="C16" s="7">
        <v>0</v>
      </c>
      <c r="D16" s="46"/>
      <c r="E16" s="22"/>
      <c r="F16" s="22"/>
      <c r="G16" s="22"/>
      <c r="H16" s="22"/>
      <c r="I16" s="46"/>
      <c r="J16" s="55"/>
      <c r="K16" s="22">
        <f>SUM(K7:K15)</f>
        <v>4143900</v>
      </c>
      <c r="L16" s="22">
        <f>SUM(L7:L15)</f>
        <v>151177184.39000002</v>
      </c>
      <c r="M16" s="63">
        <f>SUM(M7:M15)</f>
        <v>89068496.640000001</v>
      </c>
      <c r="N16" s="64"/>
      <c r="O16" s="22"/>
      <c r="P16" s="7">
        <f>SUM(P7:P15)</f>
        <v>6944.4</v>
      </c>
      <c r="Q16" s="22">
        <f>SUM(Q7:Q15)</f>
        <v>149338031.25</v>
      </c>
      <c r="R16" s="22">
        <f>SUM(R7:R15)</f>
        <v>1087400</v>
      </c>
      <c r="S16" s="22"/>
      <c r="T16" s="22"/>
      <c r="U16" s="22"/>
      <c r="V16" s="22"/>
      <c r="W16" s="101">
        <f t="shared" si="0"/>
        <v>151177184.39000002</v>
      </c>
      <c r="X16" s="101">
        <f t="shared" si="1"/>
        <v>89068496.640000001</v>
      </c>
      <c r="Y16" s="22"/>
      <c r="Z16" s="22"/>
      <c r="AA16" s="63">
        <f>L16</f>
        <v>151177184.39000002</v>
      </c>
      <c r="AB16" s="22">
        <f>SUM(AB7:AB15)</f>
        <v>13299587.450000001</v>
      </c>
      <c r="AC16" s="22"/>
    </row>
    <row r="17" spans="4:31">
      <c r="D17" s="22"/>
      <c r="E17" s="22"/>
      <c r="F17" s="22"/>
      <c r="G17" s="22"/>
      <c r="H17" s="22"/>
      <c r="I17" s="22"/>
      <c r="J17" s="104"/>
      <c r="K17" s="22"/>
      <c r="L17" s="22"/>
      <c r="M17" s="22"/>
      <c r="N17" s="22"/>
      <c r="O17" s="22"/>
      <c r="AA17" s="22"/>
      <c r="AB17" s="22"/>
      <c r="AC17" s="22"/>
      <c r="AD17" s="12"/>
      <c r="AE17" s="12"/>
    </row>
    <row r="18" spans="4:31">
      <c r="D18" s="22"/>
      <c r="E18" s="22"/>
      <c r="F18" s="22"/>
      <c r="G18" s="22"/>
      <c r="H18" s="22"/>
      <c r="I18" s="22"/>
      <c r="J18" s="104"/>
      <c r="K18" s="22"/>
      <c r="L18" s="22"/>
      <c r="M18" s="22"/>
      <c r="N18" s="22"/>
      <c r="O18" s="22"/>
    </row>
    <row r="19" spans="4:31">
      <c r="G19" s="22"/>
      <c r="H19" s="22"/>
      <c r="I19" s="22"/>
      <c r="J19" s="104"/>
      <c r="K19" s="22"/>
      <c r="L19" s="22"/>
      <c r="M19" s="22"/>
      <c r="N19" s="22"/>
      <c r="O19" s="22"/>
    </row>
  </sheetData>
  <phoneticPr fontId="0" type="noConversion"/>
  <pageMargins left="0.75" right="0.75" top="1" bottom="1" header="0.5" footer="0.5"/>
  <pageSetup paperSize="9" scale="8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FF00"/>
  </sheetPr>
  <dimension ref="A2:M25"/>
  <sheetViews>
    <sheetView zoomScale="134" zoomScaleNormal="134" workbookViewId="0">
      <selection activeCell="M9" sqref="M9"/>
    </sheetView>
  </sheetViews>
  <sheetFormatPr defaultRowHeight="12.75"/>
  <cols>
    <col min="1" max="1" width="21.7109375" style="7" customWidth="1"/>
    <col min="2" max="2" width="14" style="7" customWidth="1"/>
    <col min="3" max="3" width="20.140625" style="7" hidden="1" customWidth="1"/>
    <col min="4" max="4" width="19.28515625" style="7" hidden="1" customWidth="1"/>
    <col min="5" max="5" width="12.28515625" style="7" customWidth="1"/>
    <col min="6" max="6" width="10" style="7" customWidth="1"/>
    <col min="7" max="7" width="10.28515625" style="7" customWidth="1"/>
    <col min="8" max="8" width="11.140625" customWidth="1"/>
    <col min="9" max="9" width="18.42578125" customWidth="1"/>
  </cols>
  <sheetData>
    <row r="2" spans="1:13">
      <c r="A2" s="7" t="s">
        <v>144</v>
      </c>
    </row>
    <row r="4" spans="1:13" ht="89.25">
      <c r="A4" s="62" t="s">
        <v>0</v>
      </c>
      <c r="B4" s="56" t="s">
        <v>92</v>
      </c>
      <c r="C4" s="23" t="s">
        <v>93</v>
      </c>
      <c r="D4" s="56" t="s">
        <v>9</v>
      </c>
      <c r="E4" s="23" t="s">
        <v>97</v>
      </c>
      <c r="F4" s="23" t="s">
        <v>142</v>
      </c>
      <c r="G4" s="23" t="s">
        <v>143</v>
      </c>
      <c r="H4" s="23" t="s">
        <v>145</v>
      </c>
    </row>
    <row r="5" spans="1:13">
      <c r="A5" s="45">
        <v>1</v>
      </c>
      <c r="B5" s="73">
        <v>2</v>
      </c>
      <c r="C5" s="34">
        <v>3</v>
      </c>
      <c r="D5" s="34">
        <v>4</v>
      </c>
      <c r="E5" s="34">
        <v>3</v>
      </c>
      <c r="F5" s="34">
        <v>4</v>
      </c>
      <c r="G5" s="34">
        <v>5</v>
      </c>
      <c r="H5" s="1"/>
    </row>
    <row r="6" spans="1:13" ht="25.5">
      <c r="A6" s="86" t="s">
        <v>16</v>
      </c>
      <c r="B6" s="87">
        <f>'1 качество бюдж.планир.'!C6+'2 качество исполн.бюдж.'!C6+'3 качество управл.долг.обяз.'!C6+'4 степень открытости'!C6</f>
        <v>27.999894279235779</v>
      </c>
      <c r="C6" s="88">
        <f>B6-C12</f>
        <v>-1.6433381192814132</v>
      </c>
      <c r="D6" s="88">
        <f>POWER(C6,2)</f>
        <v>2.700560174283372</v>
      </c>
      <c r="E6" s="89" t="str">
        <f>'Степень качества'!G6</f>
        <v>II</v>
      </c>
      <c r="F6" s="90"/>
      <c r="G6" s="87">
        <f>B6-F6*B6</f>
        <v>27.999894279235779</v>
      </c>
      <c r="H6" s="91" t="s">
        <v>94</v>
      </c>
      <c r="I6" s="7"/>
    </row>
    <row r="7" spans="1:13" ht="25.5">
      <c r="A7" s="92" t="s">
        <v>17</v>
      </c>
      <c r="B7" s="93">
        <f>'1 качество бюдж.планир.'!C7+'2 качество исполн.бюдж.'!B7+'3 качество управл.долг.обяз.'!C7+'4 степень открытости'!C7</f>
        <v>23.581052977167488</v>
      </c>
      <c r="C7" s="94">
        <f>B7-C12</f>
        <v>-6.062179421349704</v>
      </c>
      <c r="D7" s="94">
        <f t="shared" ref="D7:D9" si="0">POWER(C7,2)</f>
        <v>36.75001933663583</v>
      </c>
      <c r="E7" s="95" t="str">
        <f>'Степень качества'!G7</f>
        <v>III</v>
      </c>
      <c r="F7" s="96"/>
      <c r="G7" s="93">
        <f t="shared" ref="G7:G9" si="1">B7-F7*B7</f>
        <v>23.581052977167488</v>
      </c>
      <c r="H7" s="97" t="s">
        <v>95</v>
      </c>
      <c r="I7" s="7"/>
    </row>
    <row r="8" spans="1:13" ht="25.5">
      <c r="A8" s="86" t="s">
        <v>18</v>
      </c>
      <c r="B8" s="87">
        <f>'1 качество бюдж.планир.'!C8+'2 качество исполн.бюдж.'!C8+'3 качество управл.долг.обяз.'!C8+'4 степень открытости'!C8</f>
        <v>31.986480161926174</v>
      </c>
      <c r="C8" s="88">
        <f>B8-C12</f>
        <v>2.3432477634089821</v>
      </c>
      <c r="D8" s="88">
        <f t="shared" si="0"/>
        <v>5.4908100807211966</v>
      </c>
      <c r="E8" s="89" t="str">
        <f>'Степень качества'!G8</f>
        <v>II</v>
      </c>
      <c r="F8" s="90">
        <v>0.05</v>
      </c>
      <c r="G8" s="87">
        <f t="shared" si="1"/>
        <v>30.387156153829864</v>
      </c>
      <c r="H8" s="91" t="s">
        <v>94</v>
      </c>
      <c r="I8" s="7"/>
    </row>
    <row r="9" spans="1:13" ht="25.5">
      <c r="A9" s="86" t="s">
        <v>19</v>
      </c>
      <c r="B9" s="87">
        <f>'1 качество бюдж.планир.'!C9+'2 качество исполн.бюдж.'!C9+'3 качество управл.долг.обяз.'!C9+'4 степень открытости'!C9</f>
        <v>35.005502175739331</v>
      </c>
      <c r="C9" s="88">
        <f>B9-C12</f>
        <v>5.3622697772221386</v>
      </c>
      <c r="D9" s="88">
        <f t="shared" si="0"/>
        <v>28.753937163709963</v>
      </c>
      <c r="E9" s="89" t="str">
        <f>'Степень качества'!G9</f>
        <v>I</v>
      </c>
      <c r="F9" s="90">
        <v>0.05</v>
      </c>
      <c r="G9" s="87">
        <f t="shared" si="1"/>
        <v>33.255227066952365</v>
      </c>
      <c r="H9" s="91" t="s">
        <v>94</v>
      </c>
      <c r="I9" s="7"/>
    </row>
    <row r="10" spans="1:13">
      <c r="A10" s="7" t="s">
        <v>4</v>
      </c>
      <c r="B10" s="76"/>
      <c r="C10" s="76"/>
      <c r="D10" s="76"/>
      <c r="E10" s="27"/>
      <c r="F10" s="27"/>
      <c r="G10" s="27"/>
    </row>
    <row r="11" spans="1:13">
      <c r="B11" s="27"/>
      <c r="C11" s="27"/>
      <c r="D11" s="27"/>
      <c r="E11" s="30"/>
      <c r="F11" s="27"/>
      <c r="G11" s="27"/>
    </row>
    <row r="12" spans="1:13" hidden="1">
      <c r="A12" s="137" t="s">
        <v>77</v>
      </c>
      <c r="B12" s="138"/>
      <c r="C12" s="77">
        <f>AVERAGE(B6:B9)</f>
        <v>29.643232398517192</v>
      </c>
      <c r="D12" s="78"/>
      <c r="E12" s="78"/>
      <c r="F12" s="78"/>
      <c r="G12" s="78"/>
    </row>
    <row r="13" spans="1:13" hidden="1">
      <c r="A13" s="139" t="s">
        <v>14</v>
      </c>
      <c r="B13" s="140"/>
      <c r="C13" s="79">
        <f>AVERAGE(D6:D9)</f>
        <v>18.423831688837591</v>
      </c>
      <c r="D13" s="80"/>
      <c r="E13" s="80"/>
      <c r="F13" s="80"/>
      <c r="G13" s="80"/>
      <c r="H13" s="37"/>
      <c r="I13" s="37"/>
      <c r="J13" s="37"/>
      <c r="K13" s="37"/>
      <c r="L13" s="37"/>
      <c r="M13" s="37"/>
    </row>
    <row r="14" spans="1:13" hidden="1">
      <c r="A14" s="141" t="s">
        <v>78</v>
      </c>
      <c r="B14" s="142"/>
      <c r="C14" s="81">
        <f>SQRT(C13)</f>
        <v>4.2922991145582561</v>
      </c>
      <c r="D14" s="82"/>
      <c r="E14" s="83"/>
      <c r="F14" s="84"/>
      <c r="G14" s="84"/>
    </row>
    <row r="15" spans="1:13">
      <c r="B15" s="27"/>
      <c r="C15" s="27"/>
      <c r="D15" s="27"/>
      <c r="E15" s="27"/>
      <c r="F15" s="27"/>
      <c r="G15" s="27"/>
    </row>
    <row r="16" spans="1:13" ht="63.75">
      <c r="A16" s="71" t="s">
        <v>79</v>
      </c>
      <c r="B16" s="70" t="s">
        <v>10</v>
      </c>
      <c r="C16" s="33"/>
      <c r="D16" s="33"/>
      <c r="E16" s="74">
        <f>C12+2/3*C14</f>
        <v>32.504765141556028</v>
      </c>
      <c r="F16" s="74">
        <v>100</v>
      </c>
      <c r="G16" s="85"/>
    </row>
    <row r="17" spans="1:7" ht="63.75">
      <c r="A17" s="71" t="s">
        <v>80</v>
      </c>
      <c r="B17" s="70" t="s">
        <v>11</v>
      </c>
      <c r="C17" s="33"/>
      <c r="D17" s="33"/>
      <c r="E17" s="74">
        <f>C12-2/3*C14</f>
        <v>26.781699655478356</v>
      </c>
      <c r="F17" s="74">
        <f>E16</f>
        <v>32.504765141556028</v>
      </c>
      <c r="G17" s="85"/>
    </row>
    <row r="18" spans="1:7" ht="63.75">
      <c r="A18" s="71" t="s">
        <v>81</v>
      </c>
      <c r="B18" s="70" t="s">
        <v>12</v>
      </c>
      <c r="C18" s="33"/>
      <c r="D18" s="33"/>
      <c r="E18" s="74">
        <v>0</v>
      </c>
      <c r="F18" s="74">
        <f>E17</f>
        <v>26.781699655478356</v>
      </c>
      <c r="G18" s="85"/>
    </row>
    <row r="19" spans="1:7">
      <c r="B19" s="27"/>
      <c r="C19" s="27"/>
      <c r="D19" s="27"/>
      <c r="E19" s="27"/>
      <c r="F19" s="27"/>
      <c r="G19" s="27"/>
    </row>
    <row r="20" spans="1:7">
      <c r="B20" s="27"/>
      <c r="C20" s="27"/>
      <c r="D20" s="27"/>
      <c r="E20" s="27"/>
      <c r="F20" s="27"/>
      <c r="G20" s="27"/>
    </row>
    <row r="21" spans="1:7">
      <c r="B21" s="27"/>
      <c r="C21" s="27"/>
      <c r="D21" s="27"/>
      <c r="E21" s="27"/>
      <c r="F21" s="27"/>
      <c r="G21" s="27"/>
    </row>
    <row r="22" spans="1:7">
      <c r="B22" s="27"/>
      <c r="C22" s="27"/>
      <c r="D22" s="27"/>
      <c r="E22" s="27"/>
      <c r="F22" s="27"/>
      <c r="G22" s="27"/>
    </row>
    <row r="23" spans="1:7">
      <c r="B23" s="27"/>
      <c r="C23" s="27"/>
      <c r="D23" s="27"/>
      <c r="E23" s="27"/>
      <c r="F23" s="27"/>
      <c r="G23" s="27"/>
    </row>
    <row r="24" spans="1:7">
      <c r="B24" s="27"/>
      <c r="C24" s="27"/>
      <c r="D24" s="27"/>
      <c r="E24" s="27"/>
      <c r="F24" s="27"/>
      <c r="G24" s="27"/>
    </row>
    <row r="25" spans="1:7">
      <c r="B25" s="27"/>
      <c r="C25" s="27"/>
      <c r="D25" s="27"/>
      <c r="E25" s="27"/>
      <c r="F25" s="27"/>
      <c r="G25" s="27"/>
    </row>
  </sheetData>
  <mergeCells count="3">
    <mergeCell ref="A12:B12"/>
    <mergeCell ref="A13:B13"/>
    <mergeCell ref="A14:B1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E12"/>
  <sheetViews>
    <sheetView workbookViewId="0">
      <selection activeCell="J18" sqref="J18"/>
    </sheetView>
  </sheetViews>
  <sheetFormatPr defaultRowHeight="12.75"/>
  <cols>
    <col min="1" max="1" width="31" customWidth="1"/>
    <col min="2" max="2" width="18.28515625" customWidth="1"/>
    <col min="3" max="3" width="2.5703125" customWidth="1"/>
    <col min="4" max="4" width="13" customWidth="1"/>
    <col min="10" max="10" width="10.7109375" customWidth="1"/>
  </cols>
  <sheetData>
    <row r="1" spans="1:5" ht="116.45" customHeight="1">
      <c r="A1" s="17" t="s">
        <v>0</v>
      </c>
      <c r="B1" s="16" t="s">
        <v>15</v>
      </c>
      <c r="C1" s="9"/>
    </row>
    <row r="2" spans="1:5">
      <c r="A2" s="5">
        <v>1</v>
      </c>
      <c r="B2" s="5">
        <v>2</v>
      </c>
      <c r="C2" s="10"/>
      <c r="D2" s="11"/>
    </row>
    <row r="3" spans="1:5" ht="31.15" customHeight="1">
      <c r="A3" s="21" t="s">
        <v>150</v>
      </c>
      <c r="B3" s="20">
        <v>33.26</v>
      </c>
      <c r="C3" s="6"/>
      <c r="D3" s="19"/>
      <c r="E3" s="7"/>
    </row>
    <row r="4" spans="1:5" ht="27.6" customHeight="1">
      <c r="A4" s="21" t="s">
        <v>151</v>
      </c>
      <c r="B4" s="20">
        <v>30.39</v>
      </c>
      <c r="C4" s="6"/>
      <c r="D4" s="19"/>
    </row>
    <row r="5" spans="1:5" ht="30.6" customHeight="1">
      <c r="A5" s="21" t="s">
        <v>152</v>
      </c>
      <c r="B5" s="74">
        <v>28</v>
      </c>
      <c r="C5" s="6"/>
      <c r="D5" s="19"/>
    </row>
    <row r="6" spans="1:5" ht="31.9" customHeight="1">
      <c r="A6" s="21" t="s">
        <v>153</v>
      </c>
      <c r="B6" s="74">
        <v>23.58</v>
      </c>
      <c r="C6" s="6"/>
      <c r="D6" s="19"/>
    </row>
    <row r="7" spans="1:5" ht="31.9" hidden="1" customHeight="1">
      <c r="A7" s="18"/>
      <c r="B7" s="74"/>
      <c r="C7" s="6"/>
      <c r="D7" s="14"/>
    </row>
    <row r="8" spans="1:5" ht="29.45" hidden="1" customHeight="1">
      <c r="A8" s="18"/>
      <c r="B8" s="74"/>
      <c r="C8" s="6"/>
    </row>
    <row r="9" spans="1:5" ht="31.15" hidden="1" customHeight="1">
      <c r="A9" s="18"/>
      <c r="B9" s="74"/>
      <c r="C9" s="6"/>
    </row>
    <row r="10" spans="1:5" ht="31.9" hidden="1" customHeight="1">
      <c r="A10" s="18"/>
      <c r="B10" s="116"/>
      <c r="C10" s="6"/>
    </row>
    <row r="11" spans="1:5" ht="31.9" hidden="1" customHeight="1">
      <c r="A11" s="18"/>
      <c r="B11" s="74"/>
      <c r="C11" s="6"/>
    </row>
    <row r="12" spans="1:5">
      <c r="A12" s="4"/>
      <c r="B12" s="133">
        <f>B3+B4+B5+B6+B7+B8+B9+B10+B11</f>
        <v>115.23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3"/>
  </sheetPr>
  <dimension ref="A2:D15"/>
  <sheetViews>
    <sheetView zoomScale="143" zoomScaleNormal="143" workbookViewId="0">
      <selection activeCell="A2" sqref="A2"/>
    </sheetView>
  </sheetViews>
  <sheetFormatPr defaultRowHeight="12.75"/>
  <cols>
    <col min="1" max="1" width="36.140625" style="7" customWidth="1"/>
    <col min="2" max="2" width="17.140625" style="7" customWidth="1"/>
    <col min="3" max="3" width="15.85546875" style="7" customWidth="1"/>
    <col min="4" max="4" width="16.140625" style="7" customWidth="1"/>
  </cols>
  <sheetData>
    <row r="2" spans="1:4">
      <c r="A2" s="7" t="s">
        <v>33</v>
      </c>
    </row>
    <row r="4" spans="1:4" ht="99" customHeight="1">
      <c r="A4" s="62" t="s">
        <v>0</v>
      </c>
      <c r="B4" s="23" t="s">
        <v>8</v>
      </c>
      <c r="C4" s="23" t="s">
        <v>34</v>
      </c>
      <c r="D4" s="23" t="s">
        <v>83</v>
      </c>
    </row>
    <row r="5" spans="1:4">
      <c r="A5" s="45">
        <v>1</v>
      </c>
      <c r="B5" s="45">
        <v>2</v>
      </c>
      <c r="C5" s="45">
        <v>3</v>
      </c>
      <c r="D5" s="45">
        <v>4</v>
      </c>
    </row>
    <row r="6" spans="1:4" ht="31.15" customHeight="1">
      <c r="A6" s="21" t="s">
        <v>16</v>
      </c>
      <c r="B6" s="114" t="s">
        <v>13</v>
      </c>
      <c r="C6" s="20">
        <v>1</v>
      </c>
      <c r="D6" s="109">
        <f>C6*1</f>
        <v>1</v>
      </c>
    </row>
    <row r="7" spans="1:4" ht="27.6" customHeight="1">
      <c r="A7" s="21" t="s">
        <v>17</v>
      </c>
      <c r="B7" s="114" t="s">
        <v>13</v>
      </c>
      <c r="C7" s="20">
        <v>1</v>
      </c>
      <c r="D7" s="109">
        <f t="shared" ref="D7:D9" si="0">C7*1</f>
        <v>1</v>
      </c>
    </row>
    <row r="8" spans="1:4" ht="30.6" customHeight="1">
      <c r="A8" s="21" t="s">
        <v>18</v>
      </c>
      <c r="B8" s="114" t="s">
        <v>13</v>
      </c>
      <c r="C8" s="20">
        <v>1</v>
      </c>
      <c r="D8" s="109">
        <f t="shared" si="0"/>
        <v>1</v>
      </c>
    </row>
    <row r="9" spans="1:4" ht="31.9" customHeight="1">
      <c r="A9" s="21" t="s">
        <v>19</v>
      </c>
      <c r="B9" s="114" t="s">
        <v>13</v>
      </c>
      <c r="C9" s="20">
        <v>1</v>
      </c>
      <c r="D9" s="109">
        <f t="shared" si="0"/>
        <v>1</v>
      </c>
    </row>
    <row r="10" spans="1:4" ht="29.45" hidden="1" customHeight="1">
      <c r="A10" s="21"/>
      <c r="B10" s="114"/>
      <c r="C10" s="20"/>
      <c r="D10" s="109"/>
    </row>
    <row r="11" spans="1:4" ht="31.15" hidden="1" customHeight="1">
      <c r="A11" s="21"/>
      <c r="B11" s="114"/>
      <c r="C11" s="20"/>
      <c r="D11" s="109"/>
    </row>
    <row r="12" spans="1:4" ht="31.9" hidden="1" customHeight="1">
      <c r="A12" s="21"/>
      <c r="B12" s="114"/>
      <c r="C12" s="20"/>
      <c r="D12" s="109"/>
    </row>
    <row r="13" spans="1:4" ht="31.9" hidden="1" customHeight="1">
      <c r="A13" s="21"/>
      <c r="B13" s="114"/>
      <c r="C13" s="20"/>
      <c r="D13" s="109"/>
    </row>
    <row r="14" spans="1:4" ht="31.9" hidden="1" customHeight="1">
      <c r="A14" s="21"/>
      <c r="B14" s="114"/>
      <c r="C14" s="20"/>
      <c r="D14" s="109"/>
    </row>
    <row r="15" spans="1:4" ht="21" customHeight="1">
      <c r="A15" s="20" t="s">
        <v>4</v>
      </c>
      <c r="B15" s="114"/>
      <c r="C15" s="20">
        <f>SUM(C6:C9)</f>
        <v>4</v>
      </c>
      <c r="D15" s="20">
        <f>SUM(D6:D9)</f>
        <v>4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3"/>
  </sheetPr>
  <dimension ref="A2:J24"/>
  <sheetViews>
    <sheetView zoomScale="119" zoomScaleNormal="119" workbookViewId="0">
      <selection activeCell="A3" sqref="A3"/>
    </sheetView>
  </sheetViews>
  <sheetFormatPr defaultRowHeight="12.75"/>
  <cols>
    <col min="1" max="1" width="36.5703125" style="7" customWidth="1"/>
    <col min="2" max="2" width="15.5703125" style="7" customWidth="1"/>
    <col min="3" max="3" width="15.85546875" style="7" customWidth="1"/>
    <col min="4" max="5" width="11.28515625" style="7" customWidth="1"/>
    <col min="6" max="7" width="11.7109375" style="7" customWidth="1"/>
    <col min="8" max="8" width="12.7109375" style="7" customWidth="1"/>
    <col min="9" max="9" width="11.7109375" style="7" customWidth="1"/>
  </cols>
  <sheetData>
    <row r="2" spans="1:10">
      <c r="A2" s="7" t="s">
        <v>35</v>
      </c>
    </row>
    <row r="3" spans="1:10">
      <c r="A3" s="7" t="s">
        <v>36</v>
      </c>
    </row>
    <row r="5" spans="1:10" ht="105" customHeight="1">
      <c r="A5" s="62" t="s">
        <v>0</v>
      </c>
      <c r="B5" s="23" t="s">
        <v>1</v>
      </c>
      <c r="C5" s="23" t="s">
        <v>2</v>
      </c>
      <c r="D5" s="49" t="s">
        <v>32</v>
      </c>
      <c r="E5" s="49" t="s">
        <v>44</v>
      </c>
      <c r="F5" s="23" t="s">
        <v>38</v>
      </c>
      <c r="G5" s="23" t="s">
        <v>37</v>
      </c>
      <c r="H5" s="23" t="s">
        <v>39</v>
      </c>
      <c r="I5" s="23" t="s">
        <v>146</v>
      </c>
      <c r="J5" s="26"/>
    </row>
    <row r="6" spans="1:10">
      <c r="A6" s="45">
        <v>1</v>
      </c>
      <c r="B6" s="45">
        <v>2</v>
      </c>
      <c r="C6" s="45">
        <v>3</v>
      </c>
      <c r="D6" s="45" t="s">
        <v>3</v>
      </c>
      <c r="E6" s="45" t="s">
        <v>43</v>
      </c>
      <c r="F6" s="45">
        <v>5</v>
      </c>
      <c r="G6" s="45">
        <v>6</v>
      </c>
      <c r="H6" s="45" t="s">
        <v>30</v>
      </c>
      <c r="I6" s="45">
        <v>8</v>
      </c>
    </row>
    <row r="7" spans="1:10" ht="31.15" customHeight="1">
      <c r="A7" s="21" t="s">
        <v>16</v>
      </c>
      <c r="B7" s="99">
        <f>93880692.61-48074465.81</f>
        <v>45806226.799999997</v>
      </c>
      <c r="C7" s="99">
        <f>56426794-16758834</f>
        <v>39667960</v>
      </c>
      <c r="D7" s="74">
        <f t="shared" ref="D7:D10" si="0">(B7-C7)/C7</f>
        <v>0.15474117650617772</v>
      </c>
      <c r="E7" s="74">
        <f>D7</f>
        <v>0.15474117650617772</v>
      </c>
      <c r="F7" s="74">
        <f>D21-E7</f>
        <v>-1.176506177730241E-6</v>
      </c>
      <c r="G7" s="74">
        <f>D21-D20</f>
        <v>0.13052</v>
      </c>
      <c r="H7" s="74">
        <f>F7/G7</f>
        <v>-9.0139915547827237E-6</v>
      </c>
      <c r="I7" s="74">
        <f>H7*2</f>
        <v>-1.8027983109565447E-5</v>
      </c>
    </row>
    <row r="8" spans="1:10" ht="27.6" customHeight="1">
      <c r="A8" s="21" t="s">
        <v>17</v>
      </c>
      <c r="B8" s="99">
        <f>22386957.59-18101727.1</f>
        <v>4285230.4899999984</v>
      </c>
      <c r="C8" s="99">
        <f>18572581.34-14778981.34</f>
        <v>3793600</v>
      </c>
      <c r="D8" s="74">
        <f t="shared" si="0"/>
        <v>0.12959470951075452</v>
      </c>
      <c r="E8" s="74">
        <f>D8</f>
        <v>0.12959470951075452</v>
      </c>
      <c r="F8" s="74">
        <f>D21-E8</f>
        <v>2.5145290489245464E-2</v>
      </c>
      <c r="G8" s="74">
        <f>D21-D20</f>
        <v>0.13052</v>
      </c>
      <c r="H8" s="74">
        <f>F8/G8</f>
        <v>0.19265469268499436</v>
      </c>
      <c r="I8" s="74">
        <f>H8*2</f>
        <v>0.38530938536998871</v>
      </c>
    </row>
    <row r="9" spans="1:10" ht="30.6" customHeight="1">
      <c r="A9" s="21" t="s">
        <v>18</v>
      </c>
      <c r="B9" s="99">
        <f>22973343.39-14981627.73</f>
        <v>7991715.6600000001</v>
      </c>
      <c r="C9" s="99">
        <f>17862120-10940100</f>
        <v>6922020</v>
      </c>
      <c r="D9" s="74">
        <f>(B9-C9)/C9</f>
        <v>0.15453518770532304</v>
      </c>
      <c r="E9" s="74">
        <f>D9</f>
        <v>0.15453518770532304</v>
      </c>
      <c r="F9" s="74">
        <f>D21-E9</f>
        <v>2.0481229467694817E-4</v>
      </c>
      <c r="G9" s="74">
        <f>D21-D20</f>
        <v>0.13052</v>
      </c>
      <c r="H9" s="74">
        <f>F9/G9</f>
        <v>1.5692023803014724E-3</v>
      </c>
      <c r="I9" s="74">
        <f>H9*2</f>
        <v>3.1384047606029448E-3</v>
      </c>
    </row>
    <row r="10" spans="1:10" ht="31.9" customHeight="1">
      <c r="A10" s="21" t="s">
        <v>19</v>
      </c>
      <c r="B10" s="99">
        <f>11936190.8-7910676</f>
        <v>4025514.8000000007</v>
      </c>
      <c r="C10" s="99">
        <f>11186344-7256004</f>
        <v>3930340</v>
      </c>
      <c r="D10" s="117">
        <f t="shared" si="0"/>
        <v>2.4215411389345642E-2</v>
      </c>
      <c r="E10" s="117">
        <f>D24</f>
        <v>2.8702652100971483E-2</v>
      </c>
      <c r="F10" s="74">
        <f>D21-E10</f>
        <v>0.12603734789902851</v>
      </c>
      <c r="G10" s="74">
        <f>D21-D20</f>
        <v>0.13052</v>
      </c>
      <c r="H10" s="74">
        <f>F10/G10</f>
        <v>0.96565543900573492</v>
      </c>
      <c r="I10" s="74">
        <f>H10*2</f>
        <v>1.9313108780114698</v>
      </c>
    </row>
    <row r="11" spans="1:10" ht="29.45" hidden="1" customHeight="1">
      <c r="A11" s="21"/>
      <c r="B11" s="99"/>
      <c r="C11" s="99"/>
      <c r="D11" s="74"/>
      <c r="E11" s="85"/>
      <c r="F11" s="76"/>
      <c r="G11" s="76"/>
      <c r="H11" s="76"/>
      <c r="I11" s="76"/>
    </row>
    <row r="12" spans="1:10" ht="31.15" hidden="1" customHeight="1">
      <c r="A12" s="21"/>
      <c r="B12" s="99"/>
      <c r="C12" s="99"/>
      <c r="D12" s="74"/>
      <c r="E12" s="85"/>
      <c r="F12" s="76"/>
      <c r="G12" s="76"/>
      <c r="H12" s="76"/>
      <c r="I12" s="76"/>
    </row>
    <row r="13" spans="1:10" ht="31.9" hidden="1" customHeight="1">
      <c r="A13" s="21"/>
      <c r="B13" s="99"/>
      <c r="C13" s="99"/>
      <c r="D13" s="74"/>
      <c r="E13" s="85"/>
      <c r="F13" s="76"/>
      <c r="G13" s="76"/>
      <c r="H13" s="76"/>
      <c r="I13" s="76"/>
    </row>
    <row r="14" spans="1:10" ht="31.9" hidden="1" customHeight="1">
      <c r="A14" s="21"/>
      <c r="B14" s="99"/>
      <c r="C14" s="99"/>
      <c r="D14" s="74"/>
      <c r="E14" s="85"/>
      <c r="F14" s="76"/>
      <c r="G14" s="76"/>
      <c r="H14" s="76"/>
      <c r="I14" s="76"/>
    </row>
    <row r="15" spans="1:10" ht="31.9" hidden="1" customHeight="1">
      <c r="A15" s="21"/>
      <c r="B15" s="99"/>
      <c r="C15" s="99"/>
      <c r="D15" s="74"/>
      <c r="E15" s="85"/>
      <c r="F15" s="76"/>
      <c r="G15" s="76"/>
      <c r="H15" s="76"/>
      <c r="I15" s="76"/>
    </row>
    <row r="16" spans="1:10" s="7" customFormat="1">
      <c r="A16" s="7" t="s">
        <v>4</v>
      </c>
      <c r="B16" s="22">
        <f>SUM(B7:B10)</f>
        <v>62108687.749999985</v>
      </c>
      <c r="C16" s="22">
        <f>SUM(C7:C10)</f>
        <v>54313920</v>
      </c>
      <c r="D16" s="76">
        <f>(B16-C16)/C16</f>
        <v>0.14351326050485741</v>
      </c>
      <c r="E16" s="76"/>
      <c r="F16" s="76">
        <f>D21-D16</f>
        <v>1.1226739495142579E-2</v>
      </c>
      <c r="G16" s="76">
        <f>D21-D20</f>
        <v>0.13052</v>
      </c>
      <c r="H16" s="76">
        <f>F16/G16</f>
        <v>8.6015472687270764E-2</v>
      </c>
      <c r="I16" s="76">
        <f>H16*2</f>
        <v>0.17203094537454153</v>
      </c>
    </row>
    <row r="17" spans="1:9" s="7" customFormat="1">
      <c r="A17" s="22"/>
      <c r="B17" s="118">
        <f>151177184.39-89068496.64</f>
        <v>62108687.749999985</v>
      </c>
      <c r="C17" s="118">
        <f>104047839.34-49733919.34</f>
        <v>54313920</v>
      </c>
      <c r="D17" s="76"/>
      <c r="E17" s="76"/>
      <c r="F17" s="76"/>
      <c r="G17" s="76"/>
      <c r="H17" s="76"/>
      <c r="I17" s="76"/>
    </row>
    <row r="18" spans="1:9" s="7" customFormat="1">
      <c r="A18" s="22"/>
      <c r="B18" s="118">
        <f>B17-B16</f>
        <v>0</v>
      </c>
      <c r="C18" s="118">
        <f>C17-C16</f>
        <v>0</v>
      </c>
      <c r="D18" s="76"/>
      <c r="E18" s="76"/>
      <c r="F18" s="76"/>
      <c r="G18" s="76"/>
      <c r="H18" s="76"/>
      <c r="I18" s="76"/>
    </row>
    <row r="19" spans="1:9">
      <c r="A19" s="7" t="s">
        <v>26</v>
      </c>
      <c r="B19" s="22"/>
      <c r="C19" s="22"/>
      <c r="D19" s="76">
        <f>D16</f>
        <v>0.14351326050485741</v>
      </c>
      <c r="E19" s="76"/>
      <c r="F19" s="76"/>
      <c r="G19" s="76"/>
      <c r="H19" s="76"/>
      <c r="I19" s="76"/>
    </row>
    <row r="20" spans="1:9">
      <c r="A20" s="7" t="s">
        <v>27</v>
      </c>
      <c r="B20" s="22"/>
      <c r="C20" s="22"/>
      <c r="D20" s="76">
        <v>2.4219999999999998E-2</v>
      </c>
      <c r="E20" s="76"/>
      <c r="F20" s="76"/>
      <c r="G20" s="76"/>
      <c r="H20" s="76"/>
      <c r="I20" s="76"/>
    </row>
    <row r="21" spans="1:9">
      <c r="A21" s="7" t="s">
        <v>28</v>
      </c>
      <c r="D21" s="76">
        <v>0.15473999999999999</v>
      </c>
      <c r="E21" s="76"/>
      <c r="F21" s="76"/>
      <c r="G21" s="76"/>
      <c r="H21" s="76"/>
      <c r="I21" s="76"/>
    </row>
    <row r="22" spans="1:9">
      <c r="A22" s="119" t="s">
        <v>40</v>
      </c>
      <c r="B22" s="120"/>
      <c r="C22" s="120"/>
      <c r="D22" s="121"/>
      <c r="E22" s="121"/>
      <c r="F22" s="27"/>
      <c r="G22" s="27"/>
      <c r="H22" s="27"/>
      <c r="I22" s="27"/>
    </row>
    <row r="23" spans="1:9">
      <c r="A23" s="119" t="s">
        <v>41</v>
      </c>
      <c r="B23" s="120"/>
      <c r="C23" s="120"/>
      <c r="D23" s="122">
        <f>D19*5</f>
        <v>0.7175663025242871</v>
      </c>
      <c r="E23" s="121"/>
      <c r="F23" s="27"/>
      <c r="G23" s="27"/>
      <c r="H23" s="27"/>
      <c r="I23" s="27"/>
    </row>
    <row r="24" spans="1:9">
      <c r="A24" s="119" t="s">
        <v>42</v>
      </c>
      <c r="B24" s="120"/>
      <c r="C24" s="120"/>
      <c r="D24" s="122">
        <f>D19/5</f>
        <v>2.8702652100971483E-2</v>
      </c>
      <c r="E24" s="12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34"/>
  </sheetPr>
  <dimension ref="A2:C15"/>
  <sheetViews>
    <sheetView topLeftCell="A4" zoomScale="140" zoomScaleNormal="140" workbookViewId="0">
      <selection activeCell="F15" sqref="F15"/>
    </sheetView>
  </sheetViews>
  <sheetFormatPr defaultRowHeight="12.75"/>
  <cols>
    <col min="1" max="1" width="48.7109375" style="7" customWidth="1"/>
    <col min="2" max="2" width="14.7109375" style="7" customWidth="1"/>
    <col min="3" max="3" width="14.28515625" style="7" customWidth="1"/>
    <col min="4" max="4" width="12.7109375" customWidth="1"/>
  </cols>
  <sheetData>
    <row r="2" spans="1:3">
      <c r="A2" s="7" t="s">
        <v>45</v>
      </c>
    </row>
    <row r="4" spans="1:3" ht="79.150000000000006" customHeight="1">
      <c r="A4" s="62" t="s">
        <v>0</v>
      </c>
      <c r="B4" s="23" t="s">
        <v>87</v>
      </c>
      <c r="C4" s="23" t="s">
        <v>91</v>
      </c>
    </row>
    <row r="5" spans="1:3">
      <c r="A5" s="45">
        <v>1</v>
      </c>
      <c r="B5" s="45">
        <v>2</v>
      </c>
      <c r="C5" s="45">
        <v>3</v>
      </c>
    </row>
    <row r="6" spans="1:3" ht="31.15" customHeight="1">
      <c r="A6" s="21" t="s">
        <v>16</v>
      </c>
      <c r="B6" s="116">
        <f>'1.1'!H7+'1.2'!D6+'1.3 '!I7</f>
        <v>2.9999585811336025</v>
      </c>
      <c r="C6" s="116">
        <f>2*B6</f>
        <v>5.999917162267205</v>
      </c>
    </row>
    <row r="7" spans="1:3" ht="27.6" customHeight="1">
      <c r="A7" s="21" t="s">
        <v>17</v>
      </c>
      <c r="B7" s="116">
        <f>'1.1'!H8+'1.2'!D7+'1.3 '!I8</f>
        <v>1.7770828350424643</v>
      </c>
      <c r="C7" s="116">
        <f t="shared" ref="C7:C9" si="0">2*B7</f>
        <v>3.5541656700849287</v>
      </c>
    </row>
    <row r="8" spans="1:3" ht="30.6" customHeight="1">
      <c r="A8" s="21" t="s">
        <v>18</v>
      </c>
      <c r="B8" s="116">
        <f>'1.1'!H9+'1.2'!D8+'1.3 '!I9</f>
        <v>1.2888625475300102</v>
      </c>
      <c r="C8" s="116">
        <f t="shared" si="0"/>
        <v>2.5777250950600203</v>
      </c>
    </row>
    <row r="9" spans="1:3" ht="31.9" customHeight="1">
      <c r="A9" s="21" t="s">
        <v>19</v>
      </c>
      <c r="B9" s="116">
        <f>'1.1'!H10+'1.2'!D9+'1.3 '!I10</f>
        <v>2.9312769164957579</v>
      </c>
      <c r="C9" s="116">
        <f t="shared" si="0"/>
        <v>5.8625538329915159</v>
      </c>
    </row>
    <row r="10" spans="1:3" ht="29.45" hidden="1" customHeight="1">
      <c r="A10" s="21"/>
      <c r="B10" s="116"/>
      <c r="C10" s="116"/>
    </row>
    <row r="11" spans="1:3" ht="31.15" hidden="1" customHeight="1">
      <c r="A11" s="21"/>
      <c r="B11" s="116"/>
      <c r="C11" s="116"/>
    </row>
    <row r="12" spans="1:3" ht="31.9" hidden="1" customHeight="1">
      <c r="A12" s="21"/>
      <c r="B12" s="116"/>
      <c r="C12" s="116"/>
    </row>
    <row r="13" spans="1:3" ht="31.9" hidden="1" customHeight="1">
      <c r="A13" s="21"/>
      <c r="B13" s="116"/>
      <c r="C13" s="116"/>
    </row>
    <row r="14" spans="1:3" ht="31.9" hidden="1" customHeight="1">
      <c r="A14" s="21"/>
      <c r="B14" s="116"/>
      <c r="C14" s="116"/>
    </row>
    <row r="15" spans="1:3" s="7" customFormat="1">
      <c r="A15" s="7" t="s">
        <v>4</v>
      </c>
      <c r="B15" s="129">
        <f>SUM(B6:B9)</f>
        <v>8.9971808802018352</v>
      </c>
      <c r="C15" s="129">
        <f>SUM(C6:C9)</f>
        <v>17.99436176040367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33"/>
  </sheetPr>
  <dimension ref="A2:D17"/>
  <sheetViews>
    <sheetView zoomScale="133" zoomScaleNormal="133" workbookViewId="0">
      <selection activeCell="B6" sqref="B6"/>
    </sheetView>
  </sheetViews>
  <sheetFormatPr defaultRowHeight="12.75"/>
  <cols>
    <col min="1" max="1" width="36" style="7" customWidth="1"/>
    <col min="2" max="2" width="12.42578125" style="7" customWidth="1"/>
    <col min="3" max="3" width="11.5703125" style="7" customWidth="1"/>
    <col min="4" max="4" width="11.140625" style="7" customWidth="1"/>
  </cols>
  <sheetData>
    <row r="2" spans="1:4">
      <c r="A2" s="7" t="s">
        <v>46</v>
      </c>
    </row>
    <row r="4" spans="1:4" ht="112.15" customHeight="1">
      <c r="A4" s="62" t="s">
        <v>0</v>
      </c>
      <c r="B4" s="23" t="s">
        <v>20</v>
      </c>
      <c r="C4" s="23" t="s">
        <v>47</v>
      </c>
      <c r="D4" s="23" t="s">
        <v>82</v>
      </c>
    </row>
    <row r="5" spans="1:4">
      <c r="A5" s="45">
        <v>1</v>
      </c>
      <c r="B5" s="45">
        <v>2</v>
      </c>
      <c r="C5" s="34">
        <v>4</v>
      </c>
      <c r="D5" s="34">
        <v>5</v>
      </c>
    </row>
    <row r="6" spans="1:4" ht="31.15" customHeight="1">
      <c r="A6" s="21" t="s">
        <v>16</v>
      </c>
      <c r="B6" s="101">
        <v>1244022.1499999999</v>
      </c>
      <c r="C6" s="20">
        <v>1</v>
      </c>
      <c r="D6" s="20">
        <f>2*C6</f>
        <v>2</v>
      </c>
    </row>
    <row r="7" spans="1:4" ht="27.6" customHeight="1">
      <c r="A7" s="21" t="s">
        <v>17</v>
      </c>
      <c r="B7" s="101">
        <v>47260</v>
      </c>
      <c r="C7" s="20">
        <v>1</v>
      </c>
      <c r="D7" s="20">
        <f t="shared" ref="D7:D9" si="0">2*C7</f>
        <v>2</v>
      </c>
    </row>
    <row r="8" spans="1:4" ht="30.6" customHeight="1">
      <c r="A8" s="21" t="s">
        <v>18</v>
      </c>
      <c r="B8" s="101">
        <v>10000</v>
      </c>
      <c r="C8" s="20">
        <v>1</v>
      </c>
      <c r="D8" s="20">
        <f t="shared" si="0"/>
        <v>2</v>
      </c>
    </row>
    <row r="9" spans="1:4" ht="31.9" customHeight="1">
      <c r="A9" s="21" t="s">
        <v>19</v>
      </c>
      <c r="B9" s="101">
        <v>3000</v>
      </c>
      <c r="C9" s="20">
        <v>1</v>
      </c>
      <c r="D9" s="20">
        <f t="shared" si="0"/>
        <v>2</v>
      </c>
    </row>
    <row r="10" spans="1:4" ht="29.45" hidden="1" customHeight="1">
      <c r="A10" s="21"/>
      <c r="B10" s="127"/>
      <c r="C10" s="20"/>
      <c r="D10" s="20"/>
    </row>
    <row r="11" spans="1:4" ht="31.15" hidden="1" customHeight="1">
      <c r="A11" s="21"/>
      <c r="B11" s="101"/>
      <c r="C11" s="20"/>
      <c r="D11" s="20"/>
    </row>
    <row r="12" spans="1:4" ht="31.9" hidden="1" customHeight="1">
      <c r="A12" s="21"/>
      <c r="B12" s="101"/>
      <c r="C12" s="20"/>
      <c r="D12" s="20"/>
    </row>
    <row r="13" spans="1:4" ht="31.9" hidden="1" customHeight="1">
      <c r="A13" s="21"/>
      <c r="B13" s="101"/>
      <c r="C13" s="20"/>
      <c r="D13" s="20"/>
    </row>
    <row r="14" spans="1:4" ht="31.9" hidden="1" customHeight="1">
      <c r="A14" s="21"/>
      <c r="B14" s="101"/>
      <c r="C14" s="20"/>
      <c r="D14" s="20"/>
    </row>
    <row r="15" spans="1:4">
      <c r="A15" s="7" t="s">
        <v>4</v>
      </c>
      <c r="B15" s="22">
        <f>SUM(B6:B9)</f>
        <v>1304282.1499999999</v>
      </c>
    </row>
    <row r="16" spans="1:4">
      <c r="B16" s="128">
        <v>1304282.1499999999</v>
      </c>
    </row>
    <row r="17" spans="2:2">
      <c r="B17" s="126">
        <f>B16-B15</f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33"/>
  </sheetPr>
  <dimension ref="A2:D18"/>
  <sheetViews>
    <sheetView zoomScale="133" zoomScaleNormal="133" workbookViewId="0">
      <selection activeCell="A3" sqref="A3"/>
    </sheetView>
  </sheetViews>
  <sheetFormatPr defaultRowHeight="12.75"/>
  <cols>
    <col min="1" max="1" width="36.85546875" style="7" customWidth="1"/>
    <col min="2" max="2" width="14.28515625" style="7" customWidth="1"/>
    <col min="3" max="3" width="15.85546875" style="7" customWidth="1"/>
    <col min="4" max="4" width="12.7109375" style="7" customWidth="1"/>
  </cols>
  <sheetData>
    <row r="2" spans="1:4">
      <c r="A2" s="7" t="s">
        <v>48</v>
      </c>
    </row>
    <row r="3" spans="1:4">
      <c r="A3" s="7" t="s">
        <v>49</v>
      </c>
    </row>
    <row r="5" spans="1:4" ht="99" customHeight="1">
      <c r="A5" s="62" t="s">
        <v>0</v>
      </c>
      <c r="B5" s="23" t="s">
        <v>50</v>
      </c>
      <c r="C5" s="23" t="s">
        <v>51</v>
      </c>
      <c r="D5" s="49" t="s">
        <v>82</v>
      </c>
    </row>
    <row r="6" spans="1:4">
      <c r="A6" s="45">
        <v>1</v>
      </c>
      <c r="B6" s="45">
        <v>2</v>
      </c>
      <c r="C6" s="45">
        <v>3</v>
      </c>
      <c r="D6" s="45">
        <v>4</v>
      </c>
    </row>
    <row r="7" spans="1:4" ht="31.15" customHeight="1">
      <c r="A7" s="21" t="s">
        <v>16</v>
      </c>
      <c r="B7" s="74">
        <v>0</v>
      </c>
      <c r="C7" s="109">
        <v>1</v>
      </c>
      <c r="D7" s="109">
        <f>C7*2</f>
        <v>2</v>
      </c>
    </row>
    <row r="8" spans="1:4" ht="27.6" customHeight="1">
      <c r="A8" s="21" t="s">
        <v>17</v>
      </c>
      <c r="B8" s="74">
        <v>0</v>
      </c>
      <c r="C8" s="109">
        <v>1</v>
      </c>
      <c r="D8" s="109">
        <f>C8*2</f>
        <v>2</v>
      </c>
    </row>
    <row r="9" spans="1:4" ht="30.6" customHeight="1">
      <c r="A9" s="21" t="s">
        <v>18</v>
      </c>
      <c r="B9" s="74">
        <v>0</v>
      </c>
      <c r="C9" s="109">
        <v>1</v>
      </c>
      <c r="D9" s="109">
        <f>C9*2</f>
        <v>2</v>
      </c>
    </row>
    <row r="10" spans="1:4" ht="31.9" customHeight="1">
      <c r="A10" s="21" t="s">
        <v>19</v>
      </c>
      <c r="B10" s="74">
        <v>0</v>
      </c>
      <c r="C10" s="109">
        <v>1</v>
      </c>
      <c r="D10" s="109">
        <f>C10*2</f>
        <v>2</v>
      </c>
    </row>
    <row r="11" spans="1:4" ht="29.45" hidden="1" customHeight="1">
      <c r="A11" s="21"/>
      <c r="B11" s="124"/>
      <c r="C11" s="125"/>
      <c r="D11" s="109"/>
    </row>
    <row r="12" spans="1:4" ht="31.15" hidden="1" customHeight="1">
      <c r="A12" s="21"/>
      <c r="B12" s="74"/>
      <c r="C12" s="109"/>
      <c r="D12" s="109"/>
    </row>
    <row r="13" spans="1:4" ht="31.9" hidden="1" customHeight="1">
      <c r="A13" s="21"/>
      <c r="B13" s="74"/>
      <c r="C13" s="109"/>
      <c r="D13" s="109"/>
    </row>
    <row r="14" spans="1:4" ht="31.9" hidden="1" customHeight="1">
      <c r="A14" s="21"/>
      <c r="B14" s="74"/>
      <c r="C14" s="109"/>
      <c r="D14" s="109"/>
    </row>
    <row r="15" spans="1:4" ht="31.9" hidden="1" customHeight="1">
      <c r="A15" s="21"/>
      <c r="B15" s="74"/>
      <c r="C15" s="109"/>
      <c r="D15" s="109"/>
    </row>
    <row r="16" spans="1:4">
      <c r="A16" s="7" t="s">
        <v>4</v>
      </c>
      <c r="B16" s="76">
        <f>SUM(B7:B10)</f>
        <v>0</v>
      </c>
      <c r="C16" s="110"/>
      <c r="D16" s="110"/>
    </row>
    <row r="17" spans="2:3">
      <c r="B17" s="126">
        <v>0</v>
      </c>
      <c r="C17" s="126"/>
    </row>
    <row r="18" spans="2:3">
      <c r="B18" s="7">
        <f>B17-B16</f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33"/>
  </sheetPr>
  <dimension ref="A2:J25"/>
  <sheetViews>
    <sheetView topLeftCell="A4" zoomScale="148" zoomScaleNormal="148" workbookViewId="0">
      <selection activeCell="A3" sqref="A3"/>
    </sheetView>
  </sheetViews>
  <sheetFormatPr defaultRowHeight="12.75"/>
  <cols>
    <col min="1" max="1" width="36.7109375" style="7" customWidth="1"/>
    <col min="2" max="2" width="17" style="7" customWidth="1"/>
    <col min="3" max="3" width="16.5703125" style="7" customWidth="1"/>
    <col min="4" max="4" width="13.28515625" style="7" customWidth="1"/>
    <col min="5" max="5" width="11.85546875" style="7" customWidth="1"/>
    <col min="6" max="6" width="8.5703125" style="7" customWidth="1"/>
    <col min="7" max="7" width="8.7109375" style="7" customWidth="1"/>
    <col min="8" max="8" width="8.85546875" style="7"/>
    <col min="9" max="9" width="11.28515625" style="7" customWidth="1"/>
  </cols>
  <sheetData>
    <row r="2" spans="1:10">
      <c r="A2" s="7" t="s">
        <v>52</v>
      </c>
    </row>
    <row r="3" spans="1:10">
      <c r="A3" s="7" t="s">
        <v>53</v>
      </c>
    </row>
    <row r="5" spans="1:10" ht="111" customHeight="1">
      <c r="A5" s="62" t="s">
        <v>0</v>
      </c>
      <c r="B5" s="23" t="s">
        <v>6</v>
      </c>
      <c r="C5" s="23" t="s">
        <v>21</v>
      </c>
      <c r="D5" s="23" t="s">
        <v>5</v>
      </c>
      <c r="E5" s="49" t="s">
        <v>32</v>
      </c>
      <c r="F5" s="23" t="s">
        <v>38</v>
      </c>
      <c r="G5" s="23" t="s">
        <v>37</v>
      </c>
      <c r="H5" s="23" t="s">
        <v>39</v>
      </c>
      <c r="I5" s="23" t="s">
        <v>82</v>
      </c>
      <c r="J5" s="6"/>
    </row>
    <row r="6" spans="1:10" ht="16.149999999999999" customHeight="1">
      <c r="A6" s="45">
        <v>1</v>
      </c>
      <c r="B6" s="45">
        <v>2</v>
      </c>
      <c r="C6" s="45">
        <v>3</v>
      </c>
      <c r="D6" s="45">
        <v>4</v>
      </c>
      <c r="E6" s="45" t="s">
        <v>56</v>
      </c>
      <c r="F6" s="45">
        <v>6</v>
      </c>
      <c r="G6" s="45">
        <v>7</v>
      </c>
      <c r="H6" s="45" t="s">
        <v>54</v>
      </c>
      <c r="I6" s="45">
        <v>9</v>
      </c>
      <c r="J6" s="6"/>
    </row>
    <row r="7" spans="1:10" ht="31.15" customHeight="1">
      <c r="A7" s="21" t="s">
        <v>16</v>
      </c>
      <c r="B7" s="47">
        <f>43425834.43-14602660.03-432475-1167624.2</f>
        <v>27223075.199999999</v>
      </c>
      <c r="C7" s="47">
        <f>92941420.33-46330541.61-576300-1167624.2</f>
        <v>44866954.519999996</v>
      </c>
      <c r="D7" s="99">
        <f>C7-B7</f>
        <v>17643879.319999997</v>
      </c>
      <c r="E7" s="74">
        <f>D7/(1.1*(B7)/3)</f>
        <v>1.7676059930483996</v>
      </c>
      <c r="F7" s="74">
        <f>D22-E7</f>
        <v>4.0069516002994021E-6</v>
      </c>
      <c r="G7" s="74">
        <f>D22-D21</f>
        <v>0.49973000000000001</v>
      </c>
      <c r="H7" s="74">
        <f>F7/G7</f>
        <v>8.0182330464438846E-6</v>
      </c>
      <c r="I7" s="74">
        <f>H7*2</f>
        <v>1.6036466092887769E-5</v>
      </c>
      <c r="J7" s="28"/>
    </row>
    <row r="8" spans="1:10" ht="27.6" customHeight="1">
      <c r="A8" s="21" t="s">
        <v>17</v>
      </c>
      <c r="B8" s="47">
        <f>10876716.67-4397668.34-152775</f>
        <v>6326273.3300000001</v>
      </c>
      <c r="C8" s="47">
        <f>21339775.34-11380619.1-184200-43933</f>
        <v>9731023.2400000002</v>
      </c>
      <c r="D8" s="99">
        <f t="shared" ref="D8:D10" si="0">C8-B8</f>
        <v>3404749.91</v>
      </c>
      <c r="E8" s="74">
        <f>D8/(1.1*(B8)/3)</f>
        <v>1.4677964558839687</v>
      </c>
      <c r="F8" s="74">
        <f>D22-E8</f>
        <v>0.29981354411603123</v>
      </c>
      <c r="G8" s="74">
        <f>D22-D21</f>
        <v>0.49973000000000001</v>
      </c>
      <c r="H8" s="74">
        <f>F8/G8</f>
        <v>0.59995106180543734</v>
      </c>
      <c r="I8" s="74">
        <f>H8*2</f>
        <v>1.1999021236108747</v>
      </c>
      <c r="J8" s="28"/>
    </row>
    <row r="9" spans="1:10" ht="30.6" customHeight="1">
      <c r="A9" s="21" t="s">
        <v>18</v>
      </c>
      <c r="B9" s="47">
        <f>16954896.82-4700575-185425-1076540</f>
        <v>10992356.82</v>
      </c>
      <c r="C9" s="47">
        <f>23316746.93-5798939.73-222900-1192303</f>
        <v>16102604.199999999</v>
      </c>
      <c r="D9" s="99">
        <f t="shared" si="0"/>
        <v>5110247.379999999</v>
      </c>
      <c r="E9" s="75">
        <f>D9/(1.1*(B9)/3)</f>
        <v>1.2678844525619124</v>
      </c>
      <c r="F9" s="75">
        <f>D22-E9</f>
        <v>0.4997255474380875</v>
      </c>
      <c r="G9" s="74">
        <f>D22-D21</f>
        <v>0.49973000000000001</v>
      </c>
      <c r="H9" s="74">
        <f>F9/G9</f>
        <v>0.99999109006481002</v>
      </c>
      <c r="I9" s="74">
        <f>H9*2</f>
        <v>1.99998218012962</v>
      </c>
      <c r="J9" s="28"/>
    </row>
    <row r="10" spans="1:10" ht="31.9" customHeight="1">
      <c r="A10" s="21" t="s">
        <v>19</v>
      </c>
      <c r="B10" s="47">
        <f>6421500.37-234294.87-86625-697094</f>
        <v>5403486.5</v>
      </c>
      <c r="C10" s="47">
        <f>11740088.65-2680504-104000-974272</f>
        <v>7981312.6500000004</v>
      </c>
      <c r="D10" s="99">
        <f t="shared" si="0"/>
        <v>2577826.1500000004</v>
      </c>
      <c r="E10" s="75">
        <f>D10/(1.1*(B10)/3)</f>
        <v>1.301092351122827</v>
      </c>
      <c r="F10" s="75">
        <f>D22-E10</f>
        <v>0.46651764887717295</v>
      </c>
      <c r="G10" s="74">
        <f>D22-D21</f>
        <v>0.49973000000000001</v>
      </c>
      <c r="H10" s="74">
        <f>F10/G10</f>
        <v>0.93353940903522492</v>
      </c>
      <c r="I10" s="74">
        <f>H10*2</f>
        <v>1.8670788180704498</v>
      </c>
      <c r="J10" s="28"/>
    </row>
    <row r="11" spans="1:10" ht="29.45" hidden="1" customHeight="1">
      <c r="A11" s="21"/>
      <c r="B11" s="47"/>
      <c r="C11" s="47"/>
      <c r="D11" s="99"/>
      <c r="E11" s="74"/>
      <c r="F11" s="76"/>
      <c r="G11" s="76"/>
      <c r="H11" s="76"/>
      <c r="I11" s="76"/>
      <c r="J11" s="8"/>
    </row>
    <row r="12" spans="1:10" ht="31.15" hidden="1" customHeight="1">
      <c r="A12" s="21"/>
      <c r="B12" s="47"/>
      <c r="C12" s="47"/>
      <c r="D12" s="99"/>
      <c r="E12" s="74"/>
      <c r="F12" s="76"/>
      <c r="G12" s="76"/>
      <c r="H12" s="76"/>
      <c r="I12" s="76"/>
      <c r="J12" s="8"/>
    </row>
    <row r="13" spans="1:10" ht="31.9" hidden="1" customHeight="1">
      <c r="A13" s="21"/>
      <c r="B13" s="47"/>
      <c r="C13" s="47"/>
      <c r="D13" s="99"/>
      <c r="E13" s="74"/>
      <c r="F13" s="76"/>
      <c r="G13" s="76"/>
      <c r="H13" s="76"/>
      <c r="I13" s="76"/>
      <c r="J13" s="8"/>
    </row>
    <row r="14" spans="1:10" ht="31.9" hidden="1" customHeight="1">
      <c r="A14" s="21"/>
      <c r="B14" s="47"/>
      <c r="C14" s="47"/>
      <c r="D14" s="99"/>
      <c r="E14" s="74"/>
      <c r="F14" s="76"/>
      <c r="G14" s="76"/>
      <c r="H14" s="76"/>
      <c r="I14" s="76"/>
      <c r="J14" s="8"/>
    </row>
    <row r="15" spans="1:10" ht="31.9" hidden="1" customHeight="1">
      <c r="A15" s="21"/>
      <c r="B15" s="47"/>
      <c r="C15" s="47"/>
      <c r="D15" s="99"/>
      <c r="E15" s="123"/>
      <c r="F15" s="76"/>
      <c r="G15" s="76"/>
      <c r="H15" s="76"/>
      <c r="I15" s="76"/>
      <c r="J15" s="8"/>
    </row>
    <row r="16" spans="1:10">
      <c r="A16" s="7" t="s">
        <v>4</v>
      </c>
      <c r="B16" s="22">
        <f>B7+B8+B9+B10</f>
        <v>49945191.850000001</v>
      </c>
      <c r="C16" s="22">
        <f t="shared" ref="C16:D16" si="1">C7+C8+C9+C10</f>
        <v>78681894.609999999</v>
      </c>
      <c r="D16" s="22">
        <f t="shared" si="1"/>
        <v>28736702.759999998</v>
      </c>
      <c r="E16" s="85">
        <f>D16/(1.1*(B16)/3)</f>
        <v>1.569176587497499</v>
      </c>
      <c r="F16" s="76">
        <f>D22-E16</f>
        <v>0.19843341250250091</v>
      </c>
      <c r="G16" s="76">
        <f>D22-D21</f>
        <v>0.49973000000000001</v>
      </c>
      <c r="H16" s="76">
        <f>F16/G16</f>
        <v>0.39708124887939666</v>
      </c>
      <c r="I16" s="76">
        <f>H16*2</f>
        <v>0.79416249775879333</v>
      </c>
      <c r="J16" s="8"/>
    </row>
    <row r="17" spans="1:5">
      <c r="B17" s="118">
        <f>77678948.29-23935198.24-857300-2941258.2</f>
        <v>49945191.850000009</v>
      </c>
      <c r="C17" s="118">
        <f>149338031.25-66190604.44-1087400-3378132.2</f>
        <v>78681894.609999999</v>
      </c>
      <c r="D17" s="118">
        <f>C17-B17</f>
        <v>28736702.75999999</v>
      </c>
    </row>
    <row r="18" spans="1:5">
      <c r="B18" s="22">
        <f>B17-B16</f>
        <v>0</v>
      </c>
      <c r="C18" s="22">
        <f>C17-C16</f>
        <v>0</v>
      </c>
      <c r="D18" s="22"/>
    </row>
    <row r="19" spans="1:5">
      <c r="B19" s="22"/>
      <c r="C19" s="22"/>
      <c r="D19" s="22"/>
    </row>
    <row r="20" spans="1:5">
      <c r="A20" s="7" t="s">
        <v>26</v>
      </c>
      <c r="B20" s="22"/>
      <c r="C20" s="22"/>
      <c r="D20" s="76">
        <f>E16</f>
        <v>1.569176587497499</v>
      </c>
      <c r="E20" s="27"/>
    </row>
    <row r="21" spans="1:5">
      <c r="A21" s="7" t="s">
        <v>27</v>
      </c>
      <c r="B21" s="22"/>
      <c r="C21" s="22"/>
      <c r="D21" s="76">
        <v>1.2678799999999999</v>
      </c>
      <c r="E21" s="27"/>
    </row>
    <row r="22" spans="1:5">
      <c r="A22" s="7" t="s">
        <v>28</v>
      </c>
      <c r="D22" s="76">
        <f>1.76761</f>
        <v>1.7676099999999999</v>
      </c>
      <c r="E22" s="27"/>
    </row>
    <row r="23" spans="1:5">
      <c r="A23" s="119" t="s">
        <v>40</v>
      </c>
      <c r="B23" s="120"/>
      <c r="C23" s="120"/>
      <c r="D23" s="121"/>
      <c r="E23" s="121"/>
    </row>
    <row r="24" spans="1:5">
      <c r="A24" s="119" t="s">
        <v>41</v>
      </c>
      <c r="B24" s="120"/>
      <c r="C24" s="120"/>
      <c r="D24" s="122">
        <f>D20*5</f>
        <v>7.8458829374874952</v>
      </c>
      <c r="E24" s="121"/>
    </row>
    <row r="25" spans="1:5">
      <c r="A25" s="119" t="s">
        <v>42</v>
      </c>
      <c r="B25" s="120"/>
      <c r="C25" s="120"/>
      <c r="D25" s="122">
        <f>D20/5</f>
        <v>0.31383531749949978</v>
      </c>
      <c r="E25" s="121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34"/>
  </sheetPr>
  <dimension ref="A2:C15"/>
  <sheetViews>
    <sheetView zoomScale="129" zoomScaleNormal="129" workbookViewId="0">
      <selection activeCell="E8" sqref="E8"/>
    </sheetView>
  </sheetViews>
  <sheetFormatPr defaultRowHeight="12.75"/>
  <cols>
    <col min="1" max="1" width="39.5703125" style="7" customWidth="1"/>
    <col min="2" max="2" width="15.5703125" style="7" customWidth="1"/>
    <col min="3" max="3" width="14.5703125" style="7" customWidth="1"/>
    <col min="4" max="4" width="12.7109375" customWidth="1"/>
  </cols>
  <sheetData>
    <row r="2" spans="1:3">
      <c r="A2" s="7" t="s">
        <v>55</v>
      </c>
    </row>
    <row r="4" spans="1:3" ht="77.45" customHeight="1">
      <c r="A4" s="62" t="s">
        <v>0</v>
      </c>
      <c r="B4" s="23" t="s">
        <v>88</v>
      </c>
      <c r="C4" s="23" t="s">
        <v>91</v>
      </c>
    </row>
    <row r="5" spans="1:3">
      <c r="A5" s="45">
        <v>1</v>
      </c>
      <c r="B5" s="45">
        <v>2</v>
      </c>
      <c r="C5" s="45">
        <v>3</v>
      </c>
    </row>
    <row r="6" spans="1:3" ht="31.15" customHeight="1">
      <c r="A6" s="21" t="s">
        <v>16</v>
      </c>
      <c r="B6" s="116">
        <f>'2.1'!D6+'2.2'!D7+'2.3'!I7</f>
        <v>4.0000160364660928</v>
      </c>
      <c r="C6" s="74">
        <f t="shared" ref="C6:C9" si="0">2*B6</f>
        <v>8.0000320729321857</v>
      </c>
    </row>
    <row r="7" spans="1:3" ht="27.6" customHeight="1">
      <c r="A7" s="21" t="s">
        <v>17</v>
      </c>
      <c r="B7" s="116">
        <f>'2.1'!D7+'2.2'!D8+'2.3'!I8</f>
        <v>5.1999021236108742</v>
      </c>
      <c r="C7" s="74">
        <f t="shared" si="0"/>
        <v>10.399804247221748</v>
      </c>
    </row>
    <row r="8" spans="1:3" ht="30.6" customHeight="1">
      <c r="A8" s="21" t="s">
        <v>18</v>
      </c>
      <c r="B8" s="116">
        <f>'2.1'!D8+'2.2'!D9+'2.3'!I9</f>
        <v>5.9999821801296198</v>
      </c>
      <c r="C8" s="74">
        <f t="shared" si="0"/>
        <v>11.99996436025924</v>
      </c>
    </row>
    <row r="9" spans="1:3" ht="31.9" customHeight="1">
      <c r="A9" s="21" t="s">
        <v>19</v>
      </c>
      <c r="B9" s="116">
        <f>'2.1'!D9+'2.2'!D10+'2.3'!I10</f>
        <v>5.8670788180704498</v>
      </c>
      <c r="C9" s="74">
        <f t="shared" si="0"/>
        <v>11.7341576361409</v>
      </c>
    </row>
    <row r="10" spans="1:3" ht="29.45" hidden="1" customHeight="1">
      <c r="A10" s="21"/>
      <c r="B10" s="72"/>
      <c r="C10" s="74"/>
    </row>
    <row r="11" spans="1:3" ht="31.15" hidden="1" customHeight="1">
      <c r="A11" s="21"/>
      <c r="B11" s="72"/>
      <c r="C11" s="74"/>
    </row>
    <row r="12" spans="1:3" ht="31.9" hidden="1" customHeight="1">
      <c r="A12" s="21"/>
      <c r="B12" s="72"/>
      <c r="C12" s="74"/>
    </row>
    <row r="13" spans="1:3" ht="31.9" hidden="1" customHeight="1">
      <c r="A13" s="21"/>
      <c r="B13" s="72"/>
      <c r="C13" s="74"/>
    </row>
    <row r="14" spans="1:3" ht="31.9" hidden="1" customHeight="1">
      <c r="A14" s="21"/>
      <c r="B14" s="72"/>
      <c r="C14" s="74"/>
    </row>
    <row r="15" spans="1:3">
      <c r="A15" s="7" t="s">
        <v>4</v>
      </c>
      <c r="B15" s="76">
        <f>SUM(B6:B9)</f>
        <v>21.066979158277036</v>
      </c>
      <c r="C15" s="76">
        <f>B15*2</f>
        <v>42.133958316554072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FF"/>
  </sheetPr>
  <dimension ref="A2:I18"/>
  <sheetViews>
    <sheetView topLeftCell="A4" zoomScale="136" zoomScaleNormal="136" workbookViewId="0">
      <selection activeCell="H7" sqref="H7"/>
    </sheetView>
  </sheetViews>
  <sheetFormatPr defaultRowHeight="12.75"/>
  <cols>
    <col min="1" max="1" width="36.42578125" style="7" customWidth="1"/>
    <col min="2" max="2" width="15.85546875" style="7" customWidth="1"/>
    <col min="3" max="3" width="14.7109375" style="7" customWidth="1"/>
    <col min="4" max="4" width="13" style="7" customWidth="1"/>
    <col min="5" max="5" width="11.140625" style="7" customWidth="1"/>
    <col min="6" max="6" width="12.28515625" style="7" customWidth="1"/>
    <col min="7" max="7" width="12.7109375" style="7" customWidth="1"/>
    <col min="8" max="8" width="13.28515625" style="7" customWidth="1"/>
    <col min="9" max="9" width="11.5703125" style="7" customWidth="1"/>
  </cols>
  <sheetData>
    <row r="2" spans="1:9">
      <c r="A2" s="7" t="s">
        <v>57</v>
      </c>
    </row>
    <row r="4" spans="1:9" ht="102">
      <c r="A4" s="62" t="s">
        <v>0</v>
      </c>
      <c r="B4" s="23" t="s">
        <v>59</v>
      </c>
      <c r="C4" s="23" t="s">
        <v>60</v>
      </c>
      <c r="D4" s="49" t="s">
        <v>32</v>
      </c>
      <c r="E4" s="49" t="s">
        <v>44</v>
      </c>
      <c r="F4" s="23" t="s">
        <v>38</v>
      </c>
      <c r="G4" s="23" t="s">
        <v>37</v>
      </c>
      <c r="H4" s="23" t="s">
        <v>39</v>
      </c>
      <c r="I4" s="23" t="s">
        <v>82</v>
      </c>
    </row>
    <row r="5" spans="1:9">
      <c r="A5" s="45">
        <v>1</v>
      </c>
      <c r="B5" s="45">
        <v>2</v>
      </c>
      <c r="C5" s="45">
        <v>3</v>
      </c>
      <c r="D5" s="45" t="s">
        <v>58</v>
      </c>
      <c r="E5" s="45" t="s">
        <v>43</v>
      </c>
      <c r="F5" s="45">
        <v>5</v>
      </c>
      <c r="G5" s="45">
        <v>6</v>
      </c>
      <c r="H5" s="45" t="s">
        <v>30</v>
      </c>
      <c r="I5" s="45">
        <v>8</v>
      </c>
    </row>
    <row r="6" spans="1:9" ht="19.899999999999999" customHeight="1">
      <c r="A6" s="21" t="s">
        <v>16</v>
      </c>
      <c r="B6" s="99">
        <v>3485900</v>
      </c>
      <c r="C6" s="99">
        <f>93880692.61-576300</f>
        <v>93304392.609999999</v>
      </c>
      <c r="D6" s="74">
        <f>B6/C6</f>
        <v>3.7360513288700138E-2</v>
      </c>
      <c r="E6" s="74">
        <f>D6</f>
        <v>3.7360513288700138E-2</v>
      </c>
      <c r="F6" s="74">
        <f>D15-E6</f>
        <v>-5.1328870014077932E-7</v>
      </c>
      <c r="G6" s="74">
        <f>D15-D14</f>
        <v>3.7359999999999997E-2</v>
      </c>
      <c r="H6" s="74">
        <f>F6/G6</f>
        <v>-1.3738990903125786E-5</v>
      </c>
      <c r="I6" s="74">
        <f>H6*2</f>
        <v>-2.7477981806251572E-5</v>
      </c>
    </row>
    <row r="7" spans="1:9" ht="19.899999999999999" customHeight="1">
      <c r="A7" s="21" t="s">
        <v>17</v>
      </c>
      <c r="B7" s="99">
        <v>658000</v>
      </c>
      <c r="C7" s="99">
        <f>22386957.59-184200</f>
        <v>22202757.59</v>
      </c>
      <c r="D7" s="74">
        <f>B7/C7</f>
        <v>2.9635958386374475E-2</v>
      </c>
      <c r="E7" s="74">
        <f>D7</f>
        <v>2.9635958386374475E-2</v>
      </c>
      <c r="F7" s="74">
        <f>D15-E7</f>
        <v>7.7240416136255229E-3</v>
      </c>
      <c r="G7" s="74">
        <f>D15-D14</f>
        <v>3.7359999999999997E-2</v>
      </c>
      <c r="H7" s="74">
        <f>F7/G7</f>
        <v>0.20674629586792087</v>
      </c>
      <c r="I7" s="74">
        <f>H7*2</f>
        <v>0.41349259173584174</v>
      </c>
    </row>
    <row r="8" spans="1:9" ht="19.899999999999999" customHeight="1">
      <c r="A8" s="21" t="s">
        <v>18</v>
      </c>
      <c r="B8" s="99">
        <v>0</v>
      </c>
      <c r="C8" s="99">
        <f>22973343.39-222900</f>
        <v>22750443.390000001</v>
      </c>
      <c r="D8" s="117">
        <f>B8/C8</f>
        <v>0</v>
      </c>
      <c r="E8" s="117">
        <f>D18</f>
        <v>5.5218948002914107E-3</v>
      </c>
      <c r="F8" s="74">
        <f>D15-E8</f>
        <v>3.1838105199708588E-2</v>
      </c>
      <c r="G8" s="74">
        <f>D15-D14</f>
        <v>3.7359999999999997E-2</v>
      </c>
      <c r="H8" s="74">
        <f>F8/G8</f>
        <v>0.85219767665172885</v>
      </c>
      <c r="I8" s="74">
        <f>H8*2</f>
        <v>1.7043953533034577</v>
      </c>
    </row>
    <row r="9" spans="1:9" ht="19.899999999999999" customHeight="1">
      <c r="A9" s="21" t="s">
        <v>19</v>
      </c>
      <c r="B9" s="99">
        <v>0</v>
      </c>
      <c r="C9" s="99">
        <f>11936190.8-104000</f>
        <v>11832190.800000001</v>
      </c>
      <c r="D9" s="117">
        <f>B9/C9</f>
        <v>0</v>
      </c>
      <c r="E9" s="117">
        <f>D18</f>
        <v>5.5218948002914107E-3</v>
      </c>
      <c r="F9" s="74">
        <f>D15-E9</f>
        <v>3.1838105199708588E-2</v>
      </c>
      <c r="G9" s="74">
        <f>D15-D14</f>
        <v>3.7359999999999997E-2</v>
      </c>
      <c r="H9" s="74">
        <f>F9/G9</f>
        <v>0.85219767665172885</v>
      </c>
      <c r="I9" s="74">
        <f>H9*2</f>
        <v>1.7043953533034577</v>
      </c>
    </row>
    <row r="10" spans="1:9">
      <c r="A10" s="7" t="s">
        <v>4</v>
      </c>
      <c r="B10" s="22">
        <f>SUM(B6:B9)</f>
        <v>4143900</v>
      </c>
      <c r="C10" s="22">
        <f>SUM(C6:C9)</f>
        <v>150089784.39000002</v>
      </c>
      <c r="D10" s="76">
        <f>B10/C10</f>
        <v>2.7609474001457052E-2</v>
      </c>
      <c r="E10" s="76"/>
      <c r="F10" s="76">
        <f>D15-D10</f>
        <v>9.7505259985429457E-3</v>
      </c>
      <c r="G10" s="76">
        <f>D15-D14</f>
        <v>3.7359999999999997E-2</v>
      </c>
      <c r="H10" s="76">
        <f>F10/G10</f>
        <v>0.26098838325864415</v>
      </c>
      <c r="I10" s="76">
        <f>H10*2</f>
        <v>0.5219767665172883</v>
      </c>
    </row>
    <row r="11" spans="1:9">
      <c r="A11" s="22"/>
      <c r="B11" s="118">
        <v>4143900</v>
      </c>
      <c r="C11" s="118">
        <f>151177184.39-1087400</f>
        <v>150089784.38999999</v>
      </c>
      <c r="D11" s="76"/>
      <c r="E11" s="76"/>
      <c r="F11" s="76"/>
      <c r="G11" s="76"/>
      <c r="H11" s="76"/>
      <c r="I11" s="76"/>
    </row>
    <row r="12" spans="1:9">
      <c r="A12" s="22"/>
      <c r="B12" s="118">
        <f>B11-B10</f>
        <v>0</v>
      </c>
      <c r="C12" s="118">
        <f>C11-C10</f>
        <v>0</v>
      </c>
      <c r="D12" s="76"/>
      <c r="E12" s="76"/>
      <c r="F12" s="76"/>
      <c r="G12" s="76"/>
      <c r="H12" s="76"/>
      <c r="I12" s="76"/>
    </row>
    <row r="13" spans="1:9">
      <c r="A13" s="7" t="s">
        <v>26</v>
      </c>
      <c r="B13" s="22"/>
      <c r="C13" s="22"/>
      <c r="D13" s="76">
        <f>D10</f>
        <v>2.7609474001457052E-2</v>
      </c>
      <c r="E13" s="76"/>
      <c r="F13" s="76"/>
      <c r="G13" s="76"/>
      <c r="H13" s="76"/>
      <c r="I13" s="76"/>
    </row>
    <row r="14" spans="1:9">
      <c r="A14" s="7" t="s">
        <v>27</v>
      </c>
      <c r="B14" s="22"/>
      <c r="C14" s="22"/>
      <c r="D14" s="76">
        <v>0</v>
      </c>
      <c r="E14" s="76"/>
      <c r="F14" s="76"/>
      <c r="G14" s="76"/>
      <c r="H14" s="76"/>
      <c r="I14" s="76"/>
    </row>
    <row r="15" spans="1:9">
      <c r="A15" s="7" t="s">
        <v>28</v>
      </c>
      <c r="D15" s="76">
        <v>3.7359999999999997E-2</v>
      </c>
      <c r="E15" s="76"/>
      <c r="F15" s="76"/>
      <c r="G15" s="76"/>
      <c r="H15" s="76"/>
      <c r="I15" s="76"/>
    </row>
    <row r="16" spans="1:9">
      <c r="A16" s="119" t="s">
        <v>40</v>
      </c>
      <c r="B16" s="120"/>
      <c r="C16" s="120"/>
      <c r="D16" s="121"/>
      <c r="E16" s="121"/>
      <c r="F16" s="27"/>
      <c r="G16" s="27"/>
      <c r="H16" s="27"/>
      <c r="I16" s="27"/>
    </row>
    <row r="17" spans="1:9">
      <c r="A17" s="119" t="s">
        <v>41</v>
      </c>
      <c r="B17" s="120"/>
      <c r="C17" s="120"/>
      <c r="D17" s="122">
        <f>D13*5</f>
        <v>0.13804737000728526</v>
      </c>
      <c r="E17" s="121"/>
      <c r="F17" s="27"/>
      <c r="G17" s="27"/>
      <c r="H17" s="27"/>
      <c r="I17" s="27"/>
    </row>
    <row r="18" spans="1:9">
      <c r="A18" s="119" t="s">
        <v>42</v>
      </c>
      <c r="B18" s="120"/>
      <c r="C18" s="120"/>
      <c r="D18" s="122">
        <f>D13/5</f>
        <v>5.5218948002914107E-3</v>
      </c>
      <c r="E18" s="1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Диаграммы</vt:lpstr>
      </vt:variant>
      <vt:variant>
        <vt:i4>1</vt:i4>
      </vt:variant>
    </vt:vector>
  </HeadingPairs>
  <TitlesOfParts>
    <vt:vector size="20" baseType="lpstr">
      <vt:lpstr>1.1</vt:lpstr>
      <vt:lpstr>1.2</vt:lpstr>
      <vt:lpstr>1.3 </vt:lpstr>
      <vt:lpstr>1 качество бюдж.планир.</vt:lpstr>
      <vt:lpstr>2.1</vt:lpstr>
      <vt:lpstr>2.2</vt:lpstr>
      <vt:lpstr>2.3</vt:lpstr>
      <vt:lpstr>2 качество исполн.бюдж.</vt:lpstr>
      <vt:lpstr>3.1</vt:lpstr>
      <vt:lpstr>3 качество управл.долг.обяз.</vt:lpstr>
      <vt:lpstr>4.1</vt:lpstr>
      <vt:lpstr>4.2</vt:lpstr>
      <vt:lpstr>4.3</vt:lpstr>
      <vt:lpstr>4.4</vt:lpstr>
      <vt:lpstr>4 степень открытости</vt:lpstr>
      <vt:lpstr>Степень качества</vt:lpstr>
      <vt:lpstr>Индикаторы</vt:lpstr>
      <vt:lpstr>Рейтинго качества</vt:lpstr>
      <vt:lpstr>Баллы по порядку(для диаг)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2024-04-10T06:22:40Z</cp:lastPrinted>
  <dcterms:created xsi:type="dcterms:W3CDTF">1996-10-08T23:32:33Z</dcterms:created>
  <dcterms:modified xsi:type="dcterms:W3CDTF">2024-04-18T08:27:49Z</dcterms:modified>
</cp:coreProperties>
</file>