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20" yWindow="120" windowWidth="7728" windowHeight="2040" firstSheet="17" activeTab="21"/>
  </bookViews>
  <sheets>
    <sheet name="1.1" sheetId="3" r:id="rId1"/>
    <sheet name="1.2" sheetId="13" r:id="rId2"/>
    <sheet name="1.3 " sheetId="4" r:id="rId3"/>
    <sheet name="1 качество бюдж.планир." sheetId="18" r:id="rId4"/>
    <sheet name="2.1" sheetId="10" r:id="rId5"/>
    <sheet name="2.2" sheetId="5" r:id="rId6"/>
    <sheet name="2.3" sheetId="6" r:id="rId7"/>
    <sheet name="2 качество исполн.бюдж." sheetId="24" r:id="rId8"/>
    <sheet name="3.1" sheetId="43" r:id="rId9"/>
    <sheet name="3 качество управл.долг.обяз." sheetId="25" r:id="rId10"/>
    <sheet name="4.1" sheetId="46" r:id="rId11"/>
    <sheet name="4.2" sheetId="45" r:id="rId12"/>
    <sheet name="4.3" sheetId="44" r:id="rId13"/>
    <sheet name="4.4" sheetId="49" r:id="rId14"/>
    <sheet name="4.5" sheetId="48" r:id="rId15"/>
    <sheet name="4.6" sheetId="7" r:id="rId16"/>
    <sheet name="4 степень открытости" sheetId="28" r:id="rId17"/>
    <sheet name="Степень качества" sheetId="29" r:id="rId18"/>
    <sheet name="Индикаторы" sheetId="8" r:id="rId19"/>
    <sheet name="Рейтинг качества" sheetId="47" r:id="rId20"/>
    <sheet name="Баллы по порядку(для диаг)" sheetId="31" r:id="rId21"/>
    <sheet name="Диаграмма" sheetId="51" r:id="rId22"/>
  </sheets>
  <calcPr calcId="125725"/>
</workbook>
</file>

<file path=xl/calcChain.xml><?xml version="1.0" encoding="utf-8"?>
<calcChain xmlns="http://schemas.openxmlformats.org/spreadsheetml/2006/main">
  <c r="B6" i="31"/>
  <c r="B5"/>
  <c r="B4"/>
  <c r="B3"/>
  <c r="Y9" i="8"/>
  <c r="Y10"/>
  <c r="Y8"/>
  <c r="AB10"/>
  <c r="AB9"/>
  <c r="AB8"/>
  <c r="AC16"/>
  <c r="AA16"/>
  <c r="B6" i="47"/>
  <c r="B7" i="29"/>
  <c r="B7" i="28"/>
  <c r="B8"/>
  <c r="B9"/>
  <c r="B15"/>
  <c r="B6"/>
  <c r="D11" i="48"/>
  <c r="D10"/>
  <c r="D9"/>
  <c r="D8"/>
  <c r="D7"/>
  <c r="D11" i="49"/>
  <c r="D10"/>
  <c r="D9"/>
  <c r="D8"/>
  <c r="D7"/>
  <c r="B16" i="8"/>
  <c r="AC11"/>
  <c r="AC12"/>
  <c r="AC13"/>
  <c r="AC14"/>
  <c r="AC15"/>
  <c r="Q7"/>
  <c r="Q8"/>
  <c r="Q9"/>
  <c r="Q10"/>
  <c r="AB16" l="1"/>
  <c r="C9" i="43"/>
  <c r="C8"/>
  <c r="C7"/>
  <c r="C6"/>
  <c r="C11"/>
  <c r="C10" i="6"/>
  <c r="C9"/>
  <c r="C8"/>
  <c r="C7"/>
  <c r="C17"/>
  <c r="B10"/>
  <c r="B9"/>
  <c r="B8"/>
  <c r="B7"/>
  <c r="B17"/>
  <c r="E10" i="4"/>
  <c r="C17"/>
  <c r="C7"/>
  <c r="C10"/>
  <c r="C9"/>
  <c r="C8"/>
  <c r="B9"/>
  <c r="B10"/>
  <c r="B8"/>
  <c r="B7"/>
  <c r="B17"/>
  <c r="D8" i="3"/>
  <c r="E8" i="47" l="1"/>
  <c r="E7"/>
  <c r="E6"/>
  <c r="E5"/>
  <c r="D10" i="8"/>
  <c r="D9"/>
  <c r="D8"/>
  <c r="D7"/>
  <c r="W11"/>
  <c r="W12"/>
  <c r="W13"/>
  <c r="W14"/>
  <c r="W15"/>
  <c r="X8"/>
  <c r="X9"/>
  <c r="X10"/>
  <c r="S10" s="1"/>
  <c r="X11"/>
  <c r="X12"/>
  <c r="X13"/>
  <c r="X14"/>
  <c r="X15"/>
  <c r="X7"/>
  <c r="W8"/>
  <c r="W9"/>
  <c r="W10"/>
  <c r="W7"/>
  <c r="S7" s="1"/>
  <c r="P16"/>
  <c r="M16"/>
  <c r="X16" s="1"/>
  <c r="L16"/>
  <c r="R16"/>
  <c r="AD16"/>
  <c r="K10"/>
  <c r="I10" s="1"/>
  <c r="K9"/>
  <c r="I9" s="1"/>
  <c r="K8"/>
  <c r="I8" s="1"/>
  <c r="I7"/>
  <c r="N10"/>
  <c r="N9"/>
  <c r="N8"/>
  <c r="N7"/>
  <c r="S8" l="1"/>
  <c r="S9"/>
  <c r="W16"/>
  <c r="K16"/>
  <c r="Q16"/>
  <c r="C15" i="28"/>
  <c r="D15" i="7"/>
  <c r="C9" i="28"/>
  <c r="C8"/>
  <c r="C7"/>
  <c r="C6"/>
  <c r="D9" i="7"/>
  <c r="D8"/>
  <c r="D7"/>
  <c r="D6"/>
  <c r="C9"/>
  <c r="C8"/>
  <c r="C7"/>
  <c r="C6"/>
  <c r="D11" i="44"/>
  <c r="D10"/>
  <c r="D9"/>
  <c r="D8"/>
  <c r="D7"/>
  <c r="D11" i="45"/>
  <c r="D10"/>
  <c r="D9"/>
  <c r="D8"/>
  <c r="D7"/>
  <c r="D11" i="46"/>
  <c r="D10"/>
  <c r="D9"/>
  <c r="D8"/>
  <c r="D7"/>
  <c r="D9" i="43"/>
  <c r="D8"/>
  <c r="D7"/>
  <c r="E7" s="1"/>
  <c r="F7" s="1"/>
  <c r="D6"/>
  <c r="E6" s="1"/>
  <c r="G10"/>
  <c r="G9"/>
  <c r="G8"/>
  <c r="G7"/>
  <c r="G6"/>
  <c r="B10"/>
  <c r="G8" i="6"/>
  <c r="G16"/>
  <c r="G10"/>
  <c r="G9"/>
  <c r="G7"/>
  <c r="D10" i="5"/>
  <c r="D9"/>
  <c r="D8"/>
  <c r="D7"/>
  <c r="G16" i="4"/>
  <c r="G10"/>
  <c r="G9"/>
  <c r="G8"/>
  <c r="G7"/>
  <c r="F16" i="3"/>
  <c r="F10"/>
  <c r="F9"/>
  <c r="F8"/>
  <c r="F7"/>
  <c r="H7" i="43" l="1"/>
  <c r="I7" s="1"/>
  <c r="B7" i="25" s="1"/>
  <c r="F6" i="43"/>
  <c r="H6" s="1"/>
  <c r="I6" s="1"/>
  <c r="B6" i="25" s="1"/>
  <c r="C10" i="43"/>
  <c r="C12" s="1"/>
  <c r="B12"/>
  <c r="C16" i="6"/>
  <c r="C18" s="1"/>
  <c r="B16"/>
  <c r="B16" i="5"/>
  <c r="B18" s="1"/>
  <c r="B15" i="10"/>
  <c r="C16" i="4"/>
  <c r="D15" i="13"/>
  <c r="C15"/>
  <c r="B16" i="3"/>
  <c r="B18" s="1"/>
  <c r="D7" i="6"/>
  <c r="E7" s="1"/>
  <c r="F7" s="1"/>
  <c r="H7" s="1"/>
  <c r="I7" s="1"/>
  <c r="B6" i="24" s="1"/>
  <c r="D9" i="4"/>
  <c r="E9" s="1"/>
  <c r="F9" s="1"/>
  <c r="D10"/>
  <c r="D7" i="3"/>
  <c r="D10"/>
  <c r="E10" s="1"/>
  <c r="G10" s="1"/>
  <c r="H10" s="1"/>
  <c r="E8"/>
  <c r="G8" s="1"/>
  <c r="H8" s="1"/>
  <c r="D9"/>
  <c r="E9" s="1"/>
  <c r="G9" s="1"/>
  <c r="H9" s="1"/>
  <c r="D8" i="6"/>
  <c r="E8" s="1"/>
  <c r="F8" s="1"/>
  <c r="H8" s="1"/>
  <c r="I8" s="1"/>
  <c r="B7" i="24" s="1"/>
  <c r="D10" i="6"/>
  <c r="E10" s="1"/>
  <c r="F10" s="1"/>
  <c r="H10" s="1"/>
  <c r="I10" s="1"/>
  <c r="B9" i="24" s="1"/>
  <c r="D9" i="6"/>
  <c r="E9" s="1"/>
  <c r="F9" s="1"/>
  <c r="H9" s="1"/>
  <c r="I9" s="1"/>
  <c r="B8" i="24" s="1"/>
  <c r="C16" i="3"/>
  <c r="C18" s="1"/>
  <c r="C7" i="25"/>
  <c r="C6"/>
  <c r="D7" i="13"/>
  <c r="D8"/>
  <c r="D9"/>
  <c r="D6"/>
  <c r="D7" i="10"/>
  <c r="D8"/>
  <c r="D9"/>
  <c r="D6"/>
  <c r="D10" i="43" l="1"/>
  <c r="D16" i="3"/>
  <c r="E7"/>
  <c r="G7" s="1"/>
  <c r="H9" i="4"/>
  <c r="I9" s="1"/>
  <c r="B8" i="18" s="1"/>
  <c r="D8" i="4"/>
  <c r="D16" i="6"/>
  <c r="E16" s="1"/>
  <c r="C18" i="4"/>
  <c r="B16"/>
  <c r="D16" s="1"/>
  <c r="D7"/>
  <c r="B17" i="10"/>
  <c r="B18" i="6"/>
  <c r="D17"/>
  <c r="F16" l="1"/>
  <c r="H16" s="1"/>
  <c r="I16" s="1"/>
  <c r="D20"/>
  <c r="F8" i="4"/>
  <c r="H8" s="1"/>
  <c r="I8" s="1"/>
  <c r="B7" i="18" s="1"/>
  <c r="H7" i="4"/>
  <c r="I7" s="1"/>
  <c r="E7"/>
  <c r="F7" s="1"/>
  <c r="D20" i="3"/>
  <c r="E16"/>
  <c r="H7"/>
  <c r="B6" i="18" s="1"/>
  <c r="G16" i="3"/>
  <c r="H16" s="1"/>
  <c r="F10" i="43"/>
  <c r="H10" s="1"/>
  <c r="I10" s="1"/>
  <c r="B10" i="25" s="1"/>
  <c r="C10" s="1"/>
  <c r="D13" i="43"/>
  <c r="D19" i="4"/>
  <c r="F16"/>
  <c r="H16" s="1"/>
  <c r="I16" s="1"/>
  <c r="B18"/>
  <c r="D24" i="6" l="1"/>
  <c r="D25"/>
  <c r="D23" i="4"/>
  <c r="D24"/>
  <c r="F10" s="1"/>
  <c r="H10" s="1"/>
  <c r="I10" s="1"/>
  <c r="B9" i="18" s="1"/>
  <c r="D24" i="3"/>
  <c r="D25"/>
  <c r="D18" i="43"/>
  <c r="D17"/>
  <c r="E9" l="1"/>
  <c r="F9" s="1"/>
  <c r="H9" s="1"/>
  <c r="I9" s="1"/>
  <c r="B9" i="25" s="1"/>
  <c r="C9" s="1"/>
  <c r="E8" i="43"/>
  <c r="F8" s="1"/>
  <c r="H8" s="1"/>
  <c r="I8" s="1"/>
  <c r="B8" i="25" s="1"/>
  <c r="C8" s="1"/>
  <c r="C7" i="24"/>
  <c r="C9" l="1"/>
  <c r="C6"/>
  <c r="C8"/>
  <c r="C9" i="18" l="1"/>
  <c r="C6"/>
  <c r="C8"/>
  <c r="C7"/>
  <c r="B15" i="24"/>
  <c r="C15" s="1"/>
  <c r="B9" i="29" l="1"/>
  <c r="B8" i="47"/>
  <c r="G8" s="1"/>
  <c r="B8" i="29"/>
  <c r="B7" i="47"/>
  <c r="G7" s="1"/>
  <c r="G6"/>
  <c r="B6" i="29"/>
  <c r="B5" i="47"/>
  <c r="C15" i="18"/>
  <c r="B15"/>
  <c r="B12" i="31" l="1"/>
  <c r="C12" i="29"/>
  <c r="C9" s="1"/>
  <c r="D9" s="1"/>
  <c r="G5" i="47"/>
  <c r="C11"/>
  <c r="C6" i="29" l="1"/>
  <c r="D6" s="1"/>
  <c r="C7"/>
  <c r="D7" s="1"/>
  <c r="C8"/>
  <c r="D8" s="1"/>
  <c r="C5" i="47"/>
  <c r="D5" s="1"/>
  <c r="C8"/>
  <c r="D8" s="1"/>
  <c r="C7"/>
  <c r="D7" s="1"/>
  <c r="C6"/>
  <c r="D6" s="1"/>
  <c r="C13" i="29" l="1"/>
  <c r="C14" s="1"/>
  <c r="E16" s="1"/>
  <c r="F17" s="1"/>
  <c r="C12" i="47"/>
  <c r="C13" s="1"/>
  <c r="E17" i="29" l="1"/>
  <c r="F18" s="1"/>
  <c r="E16" i="47"/>
  <c r="F17" s="1"/>
  <c r="E15"/>
  <c r="F16" s="1"/>
</calcChain>
</file>

<file path=xl/sharedStrings.xml><?xml version="1.0" encoding="utf-8"?>
<sst xmlns="http://schemas.openxmlformats.org/spreadsheetml/2006/main" count="374" uniqueCount="171">
  <si>
    <t>Поселения</t>
  </si>
  <si>
    <t>Объём доходов без учёта безвозмездных поступлений</t>
  </si>
  <si>
    <t>Первоначально утвержденный Решением СД объём доходов без учёта безвозмездных поступлений</t>
  </si>
  <si>
    <t>4((2-3)/3)</t>
  </si>
  <si>
    <t>ВСЕГО</t>
  </si>
  <si>
    <t>Расходы бюджета в IV кв.(без учета субс.,субв.,и иных м/б трансфертов)</t>
  </si>
  <si>
    <t>Расходы бюджета за 9 мес.(без учета субс.,субв.,и иных м/б трансфертов)</t>
  </si>
  <si>
    <t>Кол-во месяцев в отч.фин.году,за которые бюдж.отчётность представлена позже установленного срока</t>
  </si>
  <si>
    <t>Утверждение бюджета</t>
  </si>
  <si>
    <t>Квадрат отклонения значений комплексной оценки качества от среднего значения</t>
  </si>
  <si>
    <t>I степень качества управления муниципальными финансами</t>
  </si>
  <si>
    <t>II степень качества управления муниципальными финансами</t>
  </si>
  <si>
    <t>III степень качества управления муниципальными финансами</t>
  </si>
  <si>
    <t>Утверждён</t>
  </si>
  <si>
    <t>Среднее отклонение квадратов от среднего значения</t>
  </si>
  <si>
    <t>Общая сумма баллов по убывающей</t>
  </si>
  <si>
    <t>Маловишерское городское поселение</t>
  </si>
  <si>
    <t>Большевишерское городское поселение</t>
  </si>
  <si>
    <t>Бургинское сельское поселение</t>
  </si>
  <si>
    <t>Веребьинское сельское поселение</t>
  </si>
  <si>
    <t xml:space="preserve">Расходы </t>
  </si>
  <si>
    <t>Программные расходы</t>
  </si>
  <si>
    <t>среднее значение индикатора</t>
  </si>
  <si>
    <t>минимальное значение индикатора</t>
  </si>
  <si>
    <t>максимальное значение индикатора</t>
  </si>
  <si>
    <t>проверка</t>
  </si>
  <si>
    <t>7 (5 / 6)</t>
  </si>
  <si>
    <t>4 (2 / 3)</t>
  </si>
  <si>
    <t>Значение индикатора Ui</t>
  </si>
  <si>
    <t xml:space="preserve">1.2 Утверждение бюджета поселения на очередной финансовый год и плановый период </t>
  </si>
  <si>
    <t>Оценка значения индикатора Ei (целевое значение "Утвержден")</t>
  </si>
  <si>
    <t>1.3 Исполнение бюджета поселения по доходам без учета безвозмездных поступлений</t>
  </si>
  <si>
    <t>к первоначально утвержденному уровню</t>
  </si>
  <si>
    <t>Umax - Umin</t>
  </si>
  <si>
    <t>Umax - Ui</t>
  </si>
  <si>
    <t>Оценка значения индикатора Ei</t>
  </si>
  <si>
    <t>отклонение значения индикатора более, чем в 5 раз от среднего по всем поселениям</t>
  </si>
  <si>
    <t xml:space="preserve">      среднее значение индикатора * 5</t>
  </si>
  <si>
    <t xml:space="preserve">      среднее значение индикатора / 5</t>
  </si>
  <si>
    <t>4у</t>
  </si>
  <si>
    <t>Усреднен-ное значение индикатора Ui</t>
  </si>
  <si>
    <t>1. Качество бюджетного планирования</t>
  </si>
  <si>
    <t>2.1 Предусмотрены ли средства резервного фонда в бюджете поселения</t>
  </si>
  <si>
    <t>Оценка значения индикатора Ei (целевое значение "&gt;0")</t>
  </si>
  <si>
    <t>2.2 Объем просроченной кредиторской задолженности по выплате заработной платы за счет</t>
  </si>
  <si>
    <t>средств бюджета поселения</t>
  </si>
  <si>
    <t>Объём просроченной кредиторской задолженности по зар.плате на 01.01.24</t>
  </si>
  <si>
    <t>Оценка значения индикатора Ei (целевое значение "=0")</t>
  </si>
  <si>
    <t>2.3 Отклонение объема расходов в IV квартале от среднего объема расходов за I-III кварталы</t>
  </si>
  <si>
    <t>(без учета субсидий, субвенций и иных межбюджетных трансфетров, поступивших из областного бюджета)</t>
  </si>
  <si>
    <t>8 (6 / 7)</t>
  </si>
  <si>
    <t>2. Качество исполнения бюджета</t>
  </si>
  <si>
    <t>5 (4/(1,1*2/3)</t>
  </si>
  <si>
    <t>3.1 Уровень долговой нагрузки</t>
  </si>
  <si>
    <t>4 (2/3)</t>
  </si>
  <si>
    <t>Объем доходов без учета субвенций из областного бюджета</t>
  </si>
  <si>
    <t>3. Качество управления долговыми обязательствами</t>
  </si>
  <si>
    <t>Размещение на официальном сайте</t>
  </si>
  <si>
    <t>Осуществляется</t>
  </si>
  <si>
    <t>Оценка значения индикатора Ei (целевое значение "Осуществляется")</t>
  </si>
  <si>
    <t>об исполнении бюджета поселения в соответствии с установленным порядком</t>
  </si>
  <si>
    <t xml:space="preserve">4.2 Проведение публичных слушаний по проекту бюджета поселения и проекту отчета </t>
  </si>
  <si>
    <t>Проведение публичных слушаний</t>
  </si>
  <si>
    <t>Оценка значения индикатора Ei (целевое значение "Выполняется")</t>
  </si>
  <si>
    <t>Выполняется</t>
  </si>
  <si>
    <t xml:space="preserve">4.3 Ежемесясчное размещение на официальном сайте Администрации </t>
  </si>
  <si>
    <t>поселения отчетов об исполнении бюджета поселения</t>
  </si>
  <si>
    <t>3 ((1)-2)</t>
  </si>
  <si>
    <t>4. Степень открытости бюджеиных данных</t>
  </si>
  <si>
    <t>Комплексная оценка качества управления местными бюджетами</t>
  </si>
  <si>
    <t>Ō - среднее арифметическое значение комплексной оценки по всем поселениям</t>
  </si>
  <si>
    <t>σ - среднеквадратическое отклонение значений комплексной оценки качества от среднего значения</t>
  </si>
  <si>
    <t>Ō + ⅔σ ; 100</t>
  </si>
  <si>
    <t>Ō - ⅔σ ; Ō + ⅔σ</t>
  </si>
  <si>
    <t>0 ; Ō - ⅔σ</t>
  </si>
  <si>
    <t>Оценка качества по направле-нию Oji (удельный вес индикатора 2)</t>
  </si>
  <si>
    <t>Оценка качества по направле-нию Oji (удельный вес индикатора 1)</t>
  </si>
  <si>
    <t>Оценка качества по направлению Oji     (удельный вес индикатора 2)</t>
  </si>
  <si>
    <t>Оценка качества по направлению Oji    (удельный вес индикатора 2)</t>
  </si>
  <si>
    <t>Оценка качества по направлению Oji    (удельный вес индикатора 1)</t>
  </si>
  <si>
    <t xml:space="preserve">Оценка качества по направлению Oji (сумма баллов 1.1-1.3) </t>
  </si>
  <si>
    <t>Оценка качества по направлению Oji (сумма баллов 2.1-2.3)</t>
  </si>
  <si>
    <t>Оценка качества по направлению Oji (баллы показателя  3.1)</t>
  </si>
  <si>
    <t>Комплексная оценка качества  Oj (удельный вес направления 2)</t>
  </si>
  <si>
    <t xml:space="preserve">Комплексная оценка качества (общая сумма баллов) </t>
  </si>
  <si>
    <t>отклонение значений комплексной оценки качества от среднего арифметического значения</t>
  </si>
  <si>
    <t>II</t>
  </si>
  <si>
    <t>III</t>
  </si>
  <si>
    <t>I</t>
  </si>
  <si>
    <t>степень качества управления муниципальными финансами</t>
  </si>
  <si>
    <t>Индикаторы соблюдения бюджетного законодательства при осуществлении бюджетного процесса</t>
  </si>
  <si>
    <t>ПРИЛОЖЕНИЕ 2</t>
  </si>
  <si>
    <t>2А</t>
  </si>
  <si>
    <t>2В</t>
  </si>
  <si>
    <t>2С</t>
  </si>
  <si>
    <t>норма-тивное значе-ние</t>
  </si>
  <si>
    <t>&lt;=1,00</t>
  </si>
  <si>
    <t>1А</t>
  </si>
  <si>
    <t>1В</t>
  </si>
  <si>
    <t>1С</t>
  </si>
  <si>
    <t>отношение объема заимствований к сумме, напрвляемой на финансирование дефицита бюджета и (или) погашение долговых обязательств      1А / (1В + 1С)</t>
  </si>
  <si>
    <t>отношение объема  муниципального долга к общему годовому объему доходов, без учета объема безвозмездных поступлений   2А / (2В - 2С)</t>
  </si>
  <si>
    <t>общий годовой объем доходов</t>
  </si>
  <si>
    <t xml:space="preserve">объем безвозмездных поступлений   </t>
  </si>
  <si>
    <t>отношение объема расходов на обслуживание муниципального долга к объему расходов бюджета, за исключением объема расходов, которые осуществляются за счет субвенций, предоставляемых из областного бюджета  3А / (3В - 3С)</t>
  </si>
  <si>
    <t>3А</t>
  </si>
  <si>
    <t>3В</t>
  </si>
  <si>
    <t>3С</t>
  </si>
  <si>
    <t>&lt;=0,15</t>
  </si>
  <si>
    <t>объем расходов на обслуживание муниципального долга</t>
  </si>
  <si>
    <t xml:space="preserve">объем расходов </t>
  </si>
  <si>
    <t>объем расходов, которые осуществляются за счет субвенций, предоставляемых из областного бюджета</t>
  </si>
  <si>
    <t>&lt;=10,0%</t>
  </si>
  <si>
    <t>4A</t>
  </si>
  <si>
    <t>4B</t>
  </si>
  <si>
    <t>4C</t>
  </si>
  <si>
    <t>4D</t>
  </si>
  <si>
    <t>размер дефицита бюджета</t>
  </si>
  <si>
    <t>объем поступлений от продажи акций и иных форм участия в капитале, находящихся в собственности поселения, и снижения остатков средств на счетах по учету средств</t>
  </si>
  <si>
    <t>объем доходов</t>
  </si>
  <si>
    <t xml:space="preserve">отношение дефицита бюджета к общему годовому объему доходов бюджета, без учета объема безвозмездных поступлений      ((4А - 4В) / (4С - 4D)) * 100  </t>
  </si>
  <si>
    <t>объем безвозмездных поступлений</t>
  </si>
  <si>
    <t>5А</t>
  </si>
  <si>
    <t>5В</t>
  </si>
  <si>
    <t>5С</t>
  </si>
  <si>
    <t>сумма, напрвленная в отчетном финансовом году на финансирование дефицита бюджета (план на отчетную дату)</t>
  </si>
  <si>
    <t>объем заимствований в отчетном финансовом году (план на отчетную дату)</t>
  </si>
  <si>
    <t>сумма, напрвленная в отчетном финансовом году на погашение долговых обязательств  (план на отчетную дату)</t>
  </si>
  <si>
    <t>нарушения БК</t>
  </si>
  <si>
    <t>Итого</t>
  </si>
  <si>
    <t>итоговая степень качества управления муниципальными финансами</t>
  </si>
  <si>
    <r>
      <t>Оценка качества по направле-нию O</t>
    </r>
    <r>
      <rPr>
        <sz val="9"/>
        <rFont val="Arial"/>
        <family val="2"/>
        <charset val="204"/>
      </rPr>
      <t>ji</t>
    </r>
    <r>
      <rPr>
        <sz val="10"/>
        <rFont val="Arial"/>
        <family val="2"/>
        <charset val="204"/>
      </rPr>
      <t xml:space="preserve"> (</t>
    </r>
    <r>
      <rPr>
        <sz val="11"/>
        <rFont val="Arial"/>
        <family val="2"/>
        <charset val="204"/>
      </rPr>
      <t>у</t>
    </r>
    <r>
      <rPr>
        <sz val="10"/>
        <rFont val="Arial"/>
        <family val="2"/>
        <charset val="204"/>
      </rPr>
      <t>дельный вес индикатора 2)</t>
    </r>
  </si>
  <si>
    <t>Веребьинское                                        сельское поселение</t>
  </si>
  <si>
    <t>Большевишерское                                   городское поселение</t>
  </si>
  <si>
    <t>БК1</t>
  </si>
  <si>
    <t>БК2</t>
  </si>
  <si>
    <t>БК3</t>
  </si>
  <si>
    <t>БК4</t>
  </si>
  <si>
    <t>БК5</t>
  </si>
  <si>
    <t>Крличество нарушений всего</t>
  </si>
  <si>
    <t>Количество нарушений без БК5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</si>
  <si>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,</t>
  </si>
  <si>
    <t>1.1 Удельный вес расходов бюджета, формируемых в рамках муниципальных программ, в общем объеме расходов бюджета в отчетном финансовом году</t>
  </si>
  <si>
    <t>Резервный фонд на 01.01.2024</t>
  </si>
  <si>
    <t>Расходы бюджета за 2024 год (без учета субс.,субв.,и иных м/б трансфертов)</t>
  </si>
  <si>
    <t>Объем муниципального долга на 01.01.25</t>
  </si>
  <si>
    <t>объем  муниципального долга на 01.01.2025</t>
  </si>
  <si>
    <t xml:space="preserve">утвержденный в установленном порядке норматив формирования расходов на оплату труда и (или) содержание органов местного самоуправления за минусом </t>
  </si>
  <si>
    <t>норма-тивное значение</t>
  </si>
  <si>
    <t>Рейтинг качества управления муниципальными финансами за 2024 год</t>
  </si>
  <si>
    <r>
      <t>U</t>
    </r>
    <r>
      <rPr>
        <sz val="8"/>
        <rFont val="Arial"/>
        <family val="2"/>
        <charset val="204"/>
      </rPr>
      <t xml:space="preserve">i - </t>
    </r>
    <r>
      <rPr>
        <sz val="9"/>
        <rFont val="Arial"/>
        <family val="2"/>
        <charset val="204"/>
      </rPr>
      <t>U</t>
    </r>
    <r>
      <rPr>
        <sz val="8"/>
        <rFont val="Arial"/>
        <family val="2"/>
        <charset val="204"/>
      </rPr>
      <t>min</t>
    </r>
  </si>
  <si>
    <r>
      <t>U</t>
    </r>
    <r>
      <rPr>
        <sz val="9"/>
        <rFont val="Arial"/>
        <family val="2"/>
        <charset val="204"/>
      </rPr>
      <t xml:space="preserve">max - </t>
    </r>
    <r>
      <rPr>
        <sz val="10"/>
        <rFont val="Arial"/>
        <family val="2"/>
        <charset val="204"/>
      </rPr>
      <t>U</t>
    </r>
    <r>
      <rPr>
        <sz val="9"/>
        <rFont val="Arial"/>
        <family val="2"/>
        <charset val="204"/>
      </rPr>
      <t>min</t>
    </r>
  </si>
  <si>
    <r>
      <t>Оценка значения индикатора E</t>
    </r>
    <r>
      <rPr>
        <sz val="9"/>
        <rFont val="Arial"/>
        <family val="2"/>
        <charset val="204"/>
      </rPr>
      <t>i</t>
    </r>
  </si>
  <si>
    <t>Не осуществляется</t>
  </si>
  <si>
    <t>Оценка качества по направлению Oji (сумма балловв 4.1-4.6)</t>
  </si>
  <si>
    <t>4.6 Своевременность предоставления бюджетной отчетности в комитет финансов</t>
  </si>
  <si>
    <t>Маловишерское                                            городское поселение</t>
  </si>
  <si>
    <t>Бургинское                                   сельское поселение</t>
  </si>
  <si>
    <t>4.1 Размещение на официальном сайте Администрации поселения решения о бюджете и годового</t>
  </si>
  <si>
    <t xml:space="preserve"> отчета о результатах деятельности поселения за отчетный финансовый год</t>
  </si>
  <si>
    <t>4.4 Размещение на официальном сайте Администрации поселения "Бюджета для граждан",</t>
  </si>
  <si>
    <t xml:space="preserve"> разработанного на основе решения о бюджете на очередной финансовый год и плановый период</t>
  </si>
  <si>
    <t xml:space="preserve">4.5 Размещение на официальном сайте Администрации поселения "Бюджета для граждан", </t>
  </si>
  <si>
    <t xml:space="preserve">разработанного на основе годового отчета об исполнении бюджета за предыдущий финансовый год </t>
  </si>
  <si>
    <t>Расходы на оплату труда депутатов, выборных должностных лиц местного самоуправления, осуществляющих свои полномочия на постоянной основе, муниципальных служащих муниципального образования, всего</t>
  </si>
  <si>
    <t>в том числе: расходы на оплату труда штатных единиц, осуществляющих переданные отдельные государственные полномочия, полномочия по решению вопросов местного значения в соответствии с заключенными соглашениями; выходные пособия и денежные компенсации за неиспользованный отпуск</t>
  </si>
  <si>
    <t>собственные доходы</t>
  </si>
  <si>
    <t>дотации на выравнивание</t>
  </si>
  <si>
    <t>5D</t>
  </si>
  <si>
    <t>5E</t>
  </si>
  <si>
    <t>отношение доли расходов на оплату труда муниципальных служащих и (или) содержание органов местного самоуправления к установленному нормативу формирования данных расходов       ((5А - 5В) / (5С + 5D) * 100) / 5E</t>
  </si>
</sst>
</file>

<file path=xl/styles.xml><?xml version="1.0" encoding="utf-8"?>
<styleSheet xmlns="http://schemas.openxmlformats.org/spreadsheetml/2006/main">
  <numFmts count="3">
    <numFmt numFmtId="164" formatCode="0.00000"/>
    <numFmt numFmtId="165" formatCode="0.000"/>
    <numFmt numFmtId="166" formatCode="0.0"/>
  </numFmts>
  <fonts count="12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70C0"/>
      <name val="Arial"/>
      <family val="2"/>
      <charset val="204"/>
    </font>
    <font>
      <sz val="10"/>
      <color rgb="FFFF0000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i/>
      <sz val="10"/>
      <name val="Arial"/>
      <family val="2"/>
      <charset val="204"/>
    </font>
    <font>
      <sz val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3" fillId="0" borderId="0" xfId="0" applyFont="1"/>
    <xf numFmtId="0" fontId="0" fillId="0" borderId="1" xfId="0" applyFill="1" applyBorder="1" applyAlignment="1">
      <alignment horizontal="center"/>
    </xf>
    <xf numFmtId="0" fontId="0" fillId="0" borderId="0" xfId="0" applyBorder="1"/>
    <xf numFmtId="0" fontId="2" fillId="0" borderId="0" xfId="0" applyFont="1"/>
    <xf numFmtId="164" fontId="0" fillId="0" borderId="0" xfId="0" applyNumberFormat="1"/>
    <xf numFmtId="0" fontId="4" fillId="0" borderId="0" xfId="0" applyFont="1" applyBorder="1" applyAlignment="1">
      <alignment wrapText="1"/>
    </xf>
    <xf numFmtId="0" fontId="0" fillId="0" borderId="3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" fontId="0" fillId="0" borderId="0" xfId="0" applyNumberFormat="1"/>
    <xf numFmtId="0" fontId="1" fillId="0" borderId="1" xfId="0" applyFont="1" applyBorder="1" applyAlignment="1">
      <alignment wrapText="1"/>
    </xf>
    <xf numFmtId="0" fontId="1" fillId="0" borderId="0" xfId="0" applyFont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2" fontId="1" fillId="0" borderId="0" xfId="0" applyNumberFormat="1" applyFont="1"/>
    <xf numFmtId="0" fontId="2" fillId="0" borderId="1" xfId="0" applyFont="1" applyBorder="1" applyAlignment="1">
      <alignment wrapText="1"/>
    </xf>
    <xf numFmtId="0" fontId="6" fillId="0" borderId="0" xfId="0" applyFont="1"/>
    <xf numFmtId="0" fontId="7" fillId="0" borderId="0" xfId="0" applyFont="1"/>
    <xf numFmtId="0" fontId="0" fillId="0" borderId="0" xfId="0" applyAlignment="1">
      <alignment wrapText="1"/>
    </xf>
    <xf numFmtId="164" fontId="0" fillId="0" borderId="0" xfId="0" applyNumberFormat="1" applyBorder="1"/>
    <xf numFmtId="0" fontId="0" fillId="0" borderId="0" xfId="0" applyFill="1"/>
    <xf numFmtId="0" fontId="4" fillId="0" borderId="0" xfId="0" applyFont="1" applyBorder="1" applyAlignment="1">
      <alignment horizontal="center" vertical="center" wrapText="1"/>
    </xf>
    <xf numFmtId="4" fontId="4" fillId="3" borderId="1" xfId="0" applyNumberFormat="1" applyFont="1" applyFill="1" applyBorder="1"/>
    <xf numFmtId="0" fontId="4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/>
    </xf>
    <xf numFmtId="4" fontId="4" fillId="7" borderId="1" xfId="0" applyNumberFormat="1" applyFont="1" applyFill="1" applyBorder="1" applyAlignment="1">
      <alignment wrapText="1"/>
    </xf>
    <xf numFmtId="4" fontId="4" fillId="7" borderId="1" xfId="0" applyNumberFormat="1" applyFont="1" applyFill="1" applyBorder="1"/>
    <xf numFmtId="4" fontId="4" fillId="0" borderId="1" xfId="0" applyNumberFormat="1" applyFont="1" applyFill="1" applyBorder="1"/>
    <xf numFmtId="49" fontId="4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8" fillId="0" borderId="0" xfId="0" applyFont="1"/>
    <xf numFmtId="4" fontId="9" fillId="7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/>
    <xf numFmtId="2" fontId="4" fillId="4" borderId="4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horizontal="right" vertical="center"/>
    </xf>
    <xf numFmtId="2" fontId="2" fillId="0" borderId="1" xfId="0" applyNumberFormat="1" applyFont="1" applyBorder="1" applyAlignment="1">
      <alignment horizontal="right"/>
    </xf>
    <xf numFmtId="4" fontId="10" fillId="0" borderId="0" xfId="0" applyNumberFormat="1" applyFont="1"/>
    <xf numFmtId="0" fontId="10" fillId="0" borderId="0" xfId="0" applyFont="1"/>
    <xf numFmtId="4" fontId="10" fillId="4" borderId="0" xfId="0" applyNumberFormat="1" applyFont="1" applyFill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/>
    </xf>
    <xf numFmtId="4" fontId="1" fillId="0" borderId="1" xfId="0" applyNumberFormat="1" applyFont="1" applyBorder="1"/>
    <xf numFmtId="4" fontId="1" fillId="0" borderId="5" xfId="0" applyNumberFormat="1" applyFont="1" applyBorder="1"/>
    <xf numFmtId="4" fontId="1" fillId="0" borderId="0" xfId="0" applyNumberFormat="1" applyFont="1"/>
    <xf numFmtId="0" fontId="1" fillId="0" borderId="1" xfId="0" applyFont="1" applyBorder="1" applyAlignment="1">
      <alignment horizontal="center"/>
    </xf>
    <xf numFmtId="4" fontId="4" fillId="3" borderId="5" xfId="0" applyNumberFormat="1" applyFont="1" applyFill="1" applyBorder="1"/>
    <xf numFmtId="4" fontId="4" fillId="0" borderId="5" xfId="0" applyNumberFormat="1" applyFont="1" applyFill="1" applyBorder="1"/>
    <xf numFmtId="4" fontId="4" fillId="0" borderId="1" xfId="0" applyNumberFormat="1" applyFont="1" applyBorder="1"/>
    <xf numFmtId="0" fontId="1" fillId="4" borderId="1" xfId="0" applyFont="1" applyFill="1" applyBorder="1" applyAlignment="1">
      <alignment horizontal="center"/>
    </xf>
    <xf numFmtId="2" fontId="4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/>
    <xf numFmtId="0" fontId="1" fillId="4" borderId="1" xfId="0" applyFont="1" applyFill="1" applyBorder="1" applyAlignment="1">
      <alignment wrapText="1"/>
    </xf>
    <xf numFmtId="2" fontId="1" fillId="4" borderId="1" xfId="0" applyNumberFormat="1" applyFont="1" applyFill="1" applyBorder="1" applyAlignment="1">
      <alignment horizontal="center"/>
    </xf>
    <xf numFmtId="2" fontId="1" fillId="4" borderId="1" xfId="0" applyNumberFormat="1" applyFont="1" applyFill="1" applyBorder="1"/>
    <xf numFmtId="164" fontId="1" fillId="4" borderId="1" xfId="0" applyNumberFormat="1" applyFont="1" applyFill="1" applyBorder="1" applyAlignment="1">
      <alignment horizontal="center"/>
    </xf>
    <xf numFmtId="9" fontId="1" fillId="4" borderId="1" xfId="0" applyNumberFormat="1" applyFont="1" applyFill="1" applyBorder="1" applyAlignment="1">
      <alignment horizontal="center"/>
    </xf>
    <xf numFmtId="164" fontId="1" fillId="0" borderId="0" xfId="0" applyNumberFormat="1" applyFont="1"/>
    <xf numFmtId="164" fontId="1" fillId="0" borderId="0" xfId="0" applyNumberFormat="1" applyFont="1" applyFill="1"/>
    <xf numFmtId="164" fontId="1" fillId="0" borderId="0" xfId="0" applyNumberFormat="1" applyFont="1" applyAlignment="1">
      <alignment vertical="center"/>
    </xf>
    <xf numFmtId="2" fontId="1" fillId="0" borderId="4" xfId="0" applyNumberFormat="1" applyFont="1" applyFill="1" applyBorder="1" applyAlignment="1">
      <alignment horizontal="right" vertical="center"/>
    </xf>
    <xf numFmtId="164" fontId="1" fillId="0" borderId="0" xfId="0" applyNumberFormat="1" applyFont="1" applyFill="1" applyAlignment="1">
      <alignment vertical="center"/>
    </xf>
    <xf numFmtId="0" fontId="1" fillId="0" borderId="0" xfId="0" applyFont="1" applyFill="1"/>
    <xf numFmtId="2" fontId="1" fillId="6" borderId="1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164" fontId="1" fillId="0" borderId="0" xfId="0" applyNumberFormat="1" applyFont="1" applyFill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wrapText="1"/>
    </xf>
    <xf numFmtId="164" fontId="1" fillId="0" borderId="7" xfId="0" applyNumberFormat="1" applyFont="1" applyBorder="1"/>
    <xf numFmtId="2" fontId="1" fillId="0" borderId="1" xfId="0" applyNumberFormat="1" applyFont="1" applyBorder="1"/>
    <xf numFmtId="2" fontId="1" fillId="0" borderId="0" xfId="0" applyNumberFormat="1" applyFont="1" applyBorder="1"/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" fontId="1" fillId="7" borderId="1" xfId="0" applyNumberFormat="1" applyFont="1" applyFill="1" applyBorder="1" applyAlignment="1">
      <alignment wrapText="1"/>
    </xf>
    <xf numFmtId="4" fontId="1" fillId="3" borderId="1" xfId="0" applyNumberFormat="1" applyFont="1" applyFill="1" applyBorder="1"/>
    <xf numFmtId="4" fontId="1" fillId="7" borderId="1" xfId="0" applyNumberFormat="1" applyFont="1" applyFill="1" applyBorder="1"/>
    <xf numFmtId="4" fontId="1" fillId="3" borderId="1" xfId="0" applyNumberFormat="1" applyFont="1" applyFill="1" applyBorder="1" applyAlignment="1">
      <alignment wrapText="1"/>
    </xf>
    <xf numFmtId="0" fontId="1" fillId="3" borderId="1" xfId="0" applyFont="1" applyFill="1" applyBorder="1"/>
    <xf numFmtId="0" fontId="1" fillId="0" borderId="5" xfId="0" applyFont="1" applyBorder="1" applyAlignment="1">
      <alignment wrapText="1"/>
    </xf>
    <xf numFmtId="4" fontId="1" fillId="3" borderId="5" xfId="0" applyNumberFormat="1" applyFont="1" applyFill="1" applyBorder="1" applyAlignment="1">
      <alignment wrapText="1"/>
    </xf>
    <xf numFmtId="4" fontId="1" fillId="3" borderId="5" xfId="0" applyNumberFormat="1" applyFont="1" applyFill="1" applyBorder="1"/>
    <xf numFmtId="0" fontId="1" fillId="3" borderId="5" xfId="0" applyFont="1" applyFill="1" applyBorder="1"/>
    <xf numFmtId="4" fontId="1" fillId="0" borderId="0" xfId="0" applyNumberFormat="1" applyFont="1" applyFill="1"/>
    <xf numFmtId="0" fontId="1" fillId="4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right"/>
    </xf>
    <xf numFmtId="2" fontId="1" fillId="0" borderId="1" xfId="0" applyNumberFormat="1" applyFont="1" applyFill="1" applyBorder="1"/>
    <xf numFmtId="164" fontId="1" fillId="0" borderId="0" xfId="0" applyNumberFormat="1" applyFont="1" applyBorder="1"/>
    <xf numFmtId="0" fontId="1" fillId="0" borderId="0" xfId="0" applyFont="1" applyBorder="1"/>
    <xf numFmtId="0" fontId="1" fillId="0" borderId="6" xfId="0" applyFont="1" applyBorder="1"/>
    <xf numFmtId="1" fontId="1" fillId="0" borderId="1" xfId="0" applyNumberFormat="1" applyFont="1" applyBorder="1" applyAlignment="1">
      <alignment horizontal="right"/>
    </xf>
    <xf numFmtId="1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/>
    <xf numFmtId="1" fontId="1" fillId="0" borderId="0" xfId="0" applyNumberFormat="1" applyFont="1"/>
    <xf numFmtId="165" fontId="1" fillId="0" borderId="1" xfId="0" applyNumberFormat="1" applyFont="1" applyBorder="1"/>
    <xf numFmtId="165" fontId="1" fillId="0" borderId="5" xfId="0" applyNumberFormat="1" applyFont="1" applyBorder="1"/>
    <xf numFmtId="1" fontId="1" fillId="0" borderId="0" xfId="0" applyNumberFormat="1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4" fontId="1" fillId="0" borderId="1" xfId="0" applyNumberFormat="1" applyFont="1" applyFill="1" applyBorder="1"/>
    <xf numFmtId="0" fontId="1" fillId="5" borderId="0" xfId="0" applyFont="1" applyFill="1"/>
    <xf numFmtId="4" fontId="1" fillId="5" borderId="0" xfId="0" applyNumberFormat="1" applyFont="1" applyFill="1"/>
    <xf numFmtId="164" fontId="1" fillId="5" borderId="0" xfId="0" applyNumberFormat="1" applyFont="1" applyFill="1"/>
    <xf numFmtId="2" fontId="1" fillId="5" borderId="0" xfId="0" applyNumberFormat="1" applyFont="1" applyFill="1"/>
    <xf numFmtId="2" fontId="1" fillId="0" borderId="1" xfId="0" applyNumberFormat="1" applyFont="1" applyBorder="1" applyAlignment="1">
      <alignment horizontal="center"/>
    </xf>
    <xf numFmtId="2" fontId="1" fillId="0" borderId="5" xfId="0" applyNumberFormat="1" applyFont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1" fillId="0" borderId="0" xfId="0" applyNumberFormat="1" applyFont="1" applyAlignment="1">
      <alignment horizontal="right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5" borderId="1" xfId="0" applyNumberFormat="1" applyFont="1" applyFill="1" applyBorder="1"/>
    <xf numFmtId="0" fontId="1" fillId="0" borderId="0" xfId="0" applyFont="1" applyAlignment="1"/>
    <xf numFmtId="0" fontId="7" fillId="0" borderId="1" xfId="0" applyFont="1" applyBorder="1" applyAlignment="1">
      <alignment horizontal="center"/>
    </xf>
    <xf numFmtId="0" fontId="1" fillId="0" borderId="2" xfId="0" applyFont="1" applyFill="1" applyBorder="1" applyAlignment="1">
      <alignment wrapText="1"/>
    </xf>
    <xf numFmtId="2" fontId="10" fillId="0" borderId="0" xfId="0" applyNumberFormat="1" applyFont="1"/>
    <xf numFmtId="0" fontId="1" fillId="0" borderId="0" xfId="0" applyFont="1" applyAlignment="1">
      <alignment wrapText="1"/>
    </xf>
    <xf numFmtId="0" fontId="1" fillId="4" borderId="6" xfId="0" applyFont="1" applyFill="1" applyBorder="1" applyAlignment="1">
      <alignment wrapText="1"/>
    </xf>
    <xf numFmtId="0" fontId="1" fillId="4" borderId="4" xfId="0" applyFont="1" applyFill="1" applyBorder="1" applyAlignment="1"/>
    <xf numFmtId="0" fontId="1" fillId="0" borderId="6" xfId="0" applyFont="1" applyFill="1" applyBorder="1" applyAlignment="1">
      <alignment wrapText="1"/>
    </xf>
    <xf numFmtId="0" fontId="1" fillId="0" borderId="4" xfId="0" applyFont="1" applyBorder="1" applyAlignment="1"/>
    <xf numFmtId="0" fontId="1" fillId="6" borderId="6" xfId="0" applyFont="1" applyFill="1" applyBorder="1" applyAlignment="1">
      <alignment vertical="center" wrapText="1"/>
    </xf>
    <xf numFmtId="0" fontId="1" fillId="6" borderId="7" xfId="0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horizontal="right" vertical="center"/>
    </xf>
    <xf numFmtId="4" fontId="1" fillId="0" borderId="0" xfId="0" applyNumberFormat="1" applyFont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0" borderId="5" xfId="0" applyNumberFormat="1" applyFont="1" applyBorder="1" applyAlignment="1">
      <alignment horizontal="right"/>
    </xf>
    <xf numFmtId="166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CCFFCC"/>
      <color rgb="FF00FFFF"/>
      <color rgb="FF00FF00"/>
      <color rgb="FFFFCCFF"/>
      <color rgb="FF0000FF"/>
      <color rgb="FFCCFFFF"/>
      <color rgb="FFFF00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hartsheet" Target="chartsheets/sheet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Оценка качества управления муниципальными финансами поселений Маловишерского муниципального района за 2024 год</a:t>
            </a:r>
          </a:p>
        </c:rich>
      </c:tx>
      <c:layout>
        <c:manualLayout>
          <c:xMode val="edge"/>
          <c:yMode val="edge"/>
          <c:x val="0.1468459152016546"/>
          <c:y val="2.0512820512820516E-2"/>
        </c:manualLayout>
      </c:layout>
      <c:spPr>
        <a:noFill/>
        <a:ln w="25400">
          <a:noFill/>
        </a:ln>
      </c:spPr>
    </c:title>
    <c:view3D>
      <c:rotX val="0"/>
      <c:hPercent val="55"/>
      <c:rotY val="1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noFill/>
        <a:ln w="12700">
          <a:solidFill>
            <a:srgbClr val="FFFFFF"/>
          </a:solidFill>
          <a:prstDash val="solid"/>
        </a:ln>
      </c:spPr>
    </c:sideWall>
    <c:backWall>
      <c:spPr>
        <a:noFill/>
        <a:ln w="12700">
          <a:solidFill>
            <a:srgbClr val="FFFF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046481650523087"/>
          <c:y val="0.13789464686375616"/>
          <c:w val="0.62485939710044625"/>
          <c:h val="0.46160753637220031"/>
        </c:manualLayout>
      </c:layout>
      <c:bar3DChart>
        <c:barDir val="col"/>
        <c:grouping val="clustered"/>
        <c:ser>
          <c:idx val="0"/>
          <c:order val="0"/>
          <c:tx>
            <c:strRef>
              <c:f>'Баллы по порядку(для диаг)'!$B$3:$B$6</c:f>
              <c:strCache>
                <c:ptCount val="1"/>
                <c:pt idx="0">
                  <c:v>41,95 36,00 31,50 28,93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1.5024457924656248E-3"/>
                  <c:y val="-2.4520485839112264E-2"/>
                </c:manualLayout>
              </c:layout>
              <c:tx>
                <c:rich>
                  <a:bodyPr/>
                  <a:lstStyle/>
                  <a:p>
                    <a:r>
                      <a:rPr lang="ru-RU" sz="1600" baseline="30000"/>
                      <a:t>41,95</a:t>
                    </a:r>
                    <a:endParaRPr lang="en-US"/>
                  </a:p>
                </c:rich>
              </c:tx>
              <c:showSerName val="1"/>
            </c:dLbl>
            <c:dLbl>
              <c:idx val="1"/>
              <c:layout>
                <c:manualLayout>
                  <c:x val="-5.0556695063906922E-17"/>
                  <c:y val="0"/>
                </c:manualLayout>
              </c:layout>
              <c:tx>
                <c:rich>
                  <a:bodyPr/>
                  <a:lstStyle/>
                  <a:p>
                    <a:pPr>
                      <a:defRPr sz="1600" b="0" i="0" u="none" strike="noStrike" baseline="30000">
                        <a:solidFill>
                          <a:srgbClr val="000000"/>
                        </a:solidFill>
                        <a:latin typeface="Arial Cyr"/>
                        <a:ea typeface="Arial Cyr"/>
                        <a:cs typeface="Arial Cyr"/>
                      </a:defRPr>
                    </a:pPr>
                    <a:r>
                      <a:rPr lang="ru-RU" sz="1600" baseline="30000"/>
                      <a:t>3</a:t>
                    </a:r>
                    <a:r>
                      <a:rPr lang="ru-RU"/>
                      <a:t>6,0</a:t>
                    </a:r>
                  </a:p>
                </c:rich>
              </c:tx>
              <c:numFmt formatCode="0.0" sourceLinked="0"/>
              <c:spPr>
                <a:noFill/>
                <a:ln w="25400">
                  <a:noFill/>
                </a:ln>
              </c:spPr>
              <c:showSerName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ru-RU" sz="1600" baseline="30000"/>
                      <a:t>31,5</a:t>
                    </a:r>
                    <a:endParaRPr lang="en-US"/>
                  </a:p>
                </c:rich>
              </c:tx>
              <c:showSerName val="1"/>
            </c:dLbl>
            <c:dLbl>
              <c:idx val="3"/>
              <c:layout>
                <c:manualLayout>
                  <c:x val="-3.0048915849312562E-3"/>
                  <c:y val="-1.1145675381414685E-2"/>
                </c:manualLayout>
              </c:layout>
              <c:tx>
                <c:rich>
                  <a:bodyPr/>
                  <a:lstStyle/>
                  <a:p>
                    <a:r>
                      <a:rPr lang="ru-RU" sz="1600" baseline="30000"/>
                      <a:t>28,93</a:t>
                    </a:r>
                    <a:endParaRPr lang="en-US"/>
                  </a:p>
                </c:rich>
              </c:tx>
              <c:showSerName val="1"/>
            </c:dLbl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0" i="0" u="none" strike="noStrike" baseline="3000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SerName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'Баллы по порядку(для диаг)'!$A$3:$A$6</c:f>
              <c:strCache>
                <c:ptCount val="4"/>
                <c:pt idx="0">
                  <c:v>Веребьинское                                        сельское поселение</c:v>
                </c:pt>
                <c:pt idx="1">
                  <c:v>Маловишерское                                            городское поселение</c:v>
                </c:pt>
                <c:pt idx="2">
                  <c:v>Бургинское                                   сельское поселение</c:v>
                </c:pt>
                <c:pt idx="3">
                  <c:v>Большевишерское                                   городское поселение</c:v>
                </c:pt>
              </c:strCache>
            </c:strRef>
          </c:cat>
          <c:val>
            <c:numRef>
              <c:f>'Баллы по порядку(для диаг)'!$B$3:$B$6</c:f>
              <c:numCache>
                <c:formatCode>0.00</c:formatCode>
                <c:ptCount val="4"/>
                <c:pt idx="0">
                  <c:v>41.950048188393957</c:v>
                </c:pt>
                <c:pt idx="1">
                  <c:v>36.000430401030016</c:v>
                </c:pt>
                <c:pt idx="2">
                  <c:v>31.497452058611152</c:v>
                </c:pt>
                <c:pt idx="3">
                  <c:v>28.929474485889578</c:v>
                </c:pt>
              </c:numCache>
            </c:numRef>
          </c:val>
        </c:ser>
        <c:shape val="cylinder"/>
        <c:axId val="116253440"/>
        <c:axId val="116254976"/>
        <c:axId val="0"/>
      </c:bar3DChart>
      <c:catAx>
        <c:axId val="116253440"/>
        <c:scaling>
          <c:orientation val="minMax"/>
        </c:scaling>
        <c:axPos val="b"/>
        <c:numFmt formatCode="0.0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16254976"/>
        <c:crossesAt val="0"/>
        <c:auto val="1"/>
        <c:lblAlgn val="ctr"/>
        <c:lblOffset val="100"/>
        <c:tickLblSkip val="1"/>
        <c:tickMarkSkip val="1"/>
      </c:catAx>
      <c:valAx>
        <c:axId val="116254976"/>
        <c:scaling>
          <c:orientation val="minMax"/>
          <c:max val="45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txPr>
          <a:bodyPr rot="0" vert="horz"/>
          <a:lstStyle/>
          <a:p>
            <a:pPr>
              <a:defRPr/>
            </a:pPr>
            <a:endParaRPr lang="ru-RU"/>
          </a:p>
        </c:txPr>
        <c:crossAx val="116253440"/>
        <c:crosses val="autoZero"/>
        <c:crossBetween val="between"/>
        <c:majorUnit val="15"/>
        <c:minorUnit val="0.1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8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tabSelected="1" zoomScale="86" workbookViewId="0"/>
  </sheetViews>
  <pageMargins left="0.74803149606299213" right="0.74803149606299213" top="0.9055118110236221" bottom="0.39370078740157483" header="0.51181102362204722" footer="0.51181102362204722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03791" y="150630"/>
    <xdr:ext cx="8452884" cy="569727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0.1285</cdr:x>
      <cdr:y>0.91875</cdr:y>
    </cdr:from>
    <cdr:to>
      <cdr:x>0.213</cdr:x>
      <cdr:y>1</cdr:y>
    </cdr:to>
    <cdr:sp macro="" textlink="">
      <cdr:nvSpPr>
        <cdr:cNvPr id="16385" name="AutoShape 1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>
          <a:off x="1337358" y="4956819"/>
          <a:ext cx="456914" cy="773697"/>
        </a:xfrm>
        <a:prstGeom xmlns:a="http://schemas.openxmlformats.org/drawingml/2006/main" prst="leftBrace">
          <a:avLst>
            <a:gd name="adj1" fmla="val 42333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0.22375</cdr:x>
      <cdr:y>0.83525</cdr:y>
    </cdr:from>
    <cdr:to>
      <cdr:x>0.2735</cdr:x>
      <cdr:y>0.85575</cdr:y>
    </cdr:to>
    <cdr:sp macro="" textlink="">
      <cdr:nvSpPr>
        <cdr:cNvPr id="16386" name="AutoShape 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056283" y="4644366"/>
          <a:ext cx="460534" cy="115622"/>
        </a:xfrm>
        <a:prstGeom xmlns:a="http://schemas.openxmlformats.org/drawingml/2006/main" prst="leftBrace">
          <a:avLst>
            <a:gd name="adj1" fmla="val 8333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0.2335</cdr:x>
      <cdr:y>0.83525</cdr:y>
    </cdr:from>
    <cdr:to>
      <cdr:x>0.25025</cdr:x>
      <cdr:y>0.99875</cdr:y>
    </cdr:to>
    <cdr:sp macro="" textlink="">
      <cdr:nvSpPr>
        <cdr:cNvPr id="16387" name="AutoShape 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148390" y="4644366"/>
          <a:ext cx="156581" cy="920794"/>
        </a:xfrm>
        <a:prstGeom xmlns:a="http://schemas.openxmlformats.org/drawingml/2006/main" prst="leftBrace">
          <a:avLst>
            <a:gd name="adj1" fmla="val 49005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0.22375</cdr:x>
      <cdr:y>0.83525</cdr:y>
    </cdr:from>
    <cdr:to>
      <cdr:x>0.25025</cdr:x>
      <cdr:y>0.85575</cdr:y>
    </cdr:to>
    <cdr:sp macro="" textlink="">
      <cdr:nvSpPr>
        <cdr:cNvPr id="16388" name="AutoShape 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056283" y="4644366"/>
          <a:ext cx="248688" cy="115622"/>
        </a:xfrm>
        <a:prstGeom xmlns:a="http://schemas.openxmlformats.org/drawingml/2006/main" prst="leftBrace">
          <a:avLst>
            <a:gd name="adj1" fmla="val 8333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0.2025</cdr:x>
      <cdr:y>0.90375</cdr:y>
    </cdr:from>
    <cdr:to>
      <cdr:x>0.30275</cdr:x>
      <cdr:y>0.93025</cdr:y>
    </cdr:to>
    <cdr:sp macro="" textlink="">
      <cdr:nvSpPr>
        <cdr:cNvPr id="16389" name="AutoShape 5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>
          <a:off x="2250017" y="4643078"/>
          <a:ext cx="149054" cy="923370"/>
        </a:xfrm>
        <a:prstGeom xmlns:a="http://schemas.openxmlformats.org/drawingml/2006/main" prst="leftBrace">
          <a:avLst>
            <a:gd name="adj1" fmla="val 51624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0.203</cdr:x>
      <cdr:y>0.90375</cdr:y>
    </cdr:from>
    <cdr:to>
      <cdr:x>0.22425</cdr:x>
      <cdr:y>0.91975</cdr:y>
    </cdr:to>
    <cdr:sp macro="" textlink="">
      <cdr:nvSpPr>
        <cdr:cNvPr id="16390" name="AutoShape 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862859" y="5030236"/>
          <a:ext cx="193424" cy="90547"/>
        </a:xfrm>
        <a:prstGeom xmlns:a="http://schemas.openxmlformats.org/drawingml/2006/main" prst="leftBrace">
          <a:avLst>
            <a:gd name="adj1" fmla="val 8333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0.213</cdr:x>
      <cdr:y>0.836</cdr:y>
    </cdr:from>
    <cdr:to>
      <cdr:x>0.23</cdr:x>
      <cdr:y>1</cdr:y>
    </cdr:to>
    <cdr:sp macro="" textlink="">
      <cdr:nvSpPr>
        <cdr:cNvPr id="16391" name="AutoShape 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952663" y="4973122"/>
          <a:ext cx="156582" cy="922186"/>
        </a:xfrm>
        <a:prstGeom xmlns:a="http://schemas.openxmlformats.org/drawingml/2006/main" prst="leftBrace">
          <a:avLst>
            <a:gd name="adj1" fmla="val 49079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0.22425</cdr:x>
      <cdr:y>0.83625</cdr:y>
    </cdr:from>
    <cdr:to>
      <cdr:x>0.2415</cdr:x>
      <cdr:y>1</cdr:y>
    </cdr:to>
    <cdr:sp macro="" textlink="">
      <cdr:nvSpPr>
        <cdr:cNvPr id="16392" name="AutoShape 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056283" y="4883968"/>
          <a:ext cx="158884" cy="920793"/>
        </a:xfrm>
        <a:prstGeom xmlns:a="http://schemas.openxmlformats.org/drawingml/2006/main" prst="leftBrace">
          <a:avLst>
            <a:gd name="adj1" fmla="val 48295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0.22425</cdr:x>
      <cdr:y>0.83625</cdr:y>
    </cdr:from>
    <cdr:to>
      <cdr:x>0.2415</cdr:x>
      <cdr:y>1</cdr:y>
    </cdr:to>
    <cdr:sp macro="" textlink="">
      <cdr:nvSpPr>
        <cdr:cNvPr id="16393" name="AutoShape 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056283" y="4883968"/>
          <a:ext cx="158884" cy="920793"/>
        </a:xfrm>
        <a:prstGeom xmlns:a="http://schemas.openxmlformats.org/drawingml/2006/main" prst="leftBrace">
          <a:avLst>
            <a:gd name="adj1" fmla="val 48295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0.203</cdr:x>
      <cdr:y>0.85575</cdr:y>
    </cdr:from>
    <cdr:to>
      <cdr:x>0.213</cdr:x>
      <cdr:y>0.96025</cdr:y>
    </cdr:to>
    <cdr:sp macro="" textlink="">
      <cdr:nvSpPr>
        <cdr:cNvPr id="16394" name="AutoShape 1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862859" y="4759988"/>
          <a:ext cx="89804" cy="589252"/>
        </a:xfrm>
        <a:prstGeom xmlns:a="http://schemas.openxmlformats.org/drawingml/2006/main" prst="leftBrace">
          <a:avLst>
            <a:gd name="adj1" fmla="val 54679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0.195</cdr:x>
      <cdr:y>0.79525</cdr:y>
    </cdr:from>
    <cdr:to>
      <cdr:x>0.23</cdr:x>
      <cdr:y>0.90375</cdr:y>
    </cdr:to>
    <cdr:sp macro="" textlink="">
      <cdr:nvSpPr>
        <cdr:cNvPr id="16395" name="AutoShape 1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786871" y="4421481"/>
          <a:ext cx="322374" cy="608755"/>
        </a:xfrm>
        <a:prstGeom xmlns:a="http://schemas.openxmlformats.org/drawingml/2006/main" prst="leftBrace">
          <a:avLst>
            <a:gd name="adj1" fmla="val 15736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0.1705</cdr:x>
      <cdr:y>0.876</cdr:y>
    </cdr:from>
    <cdr:to>
      <cdr:x>0.27075</cdr:x>
      <cdr:y>0.90375</cdr:y>
    </cdr:to>
    <cdr:sp macro="" textlink="">
      <cdr:nvSpPr>
        <cdr:cNvPr id="16396" name="AutoShape 12"/>
        <cdr:cNvSpPr>
          <a:spLocks xmlns:a="http://schemas.openxmlformats.org/drawingml/2006/main"/>
        </cdr:cNvSpPr>
      </cdr:nvSpPr>
      <cdr:spPr bwMode="auto">
        <a:xfrm xmlns:a="http://schemas.openxmlformats.org/drawingml/2006/main" rot="5400000">
          <a:off x="1952944" y="4489389"/>
          <a:ext cx="156020" cy="925673"/>
        </a:xfrm>
        <a:prstGeom xmlns:a="http://schemas.openxmlformats.org/drawingml/2006/main" prst="leftBrace">
          <a:avLst>
            <a:gd name="adj1" fmla="val 49442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0.213</cdr:x>
      <cdr:y>0.83625</cdr:y>
    </cdr:from>
    <cdr:to>
      <cdr:x>0.23</cdr:x>
      <cdr:y>1</cdr:y>
    </cdr:to>
    <cdr:sp macro="" textlink="">
      <cdr:nvSpPr>
        <cdr:cNvPr id="16397" name="AutoShape 1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952663" y="4883968"/>
          <a:ext cx="156582" cy="920793"/>
        </a:xfrm>
        <a:prstGeom xmlns:a="http://schemas.openxmlformats.org/drawingml/2006/main" prst="leftBrace">
          <a:avLst>
            <a:gd name="adj1" fmla="val 49005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0.213</cdr:x>
      <cdr:y>0.8775</cdr:y>
    </cdr:from>
    <cdr:to>
      <cdr:x>0.2415</cdr:x>
      <cdr:y>0.89375</cdr:y>
    </cdr:to>
    <cdr:sp macro="" textlink="">
      <cdr:nvSpPr>
        <cdr:cNvPr id="16398" name="AutoShape 1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952663" y="4883968"/>
          <a:ext cx="262504" cy="90547"/>
        </a:xfrm>
        <a:prstGeom xmlns:a="http://schemas.openxmlformats.org/drawingml/2006/main" prst="leftBrace">
          <a:avLst>
            <a:gd name="adj1" fmla="val 8333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0.213</cdr:x>
      <cdr:y>0.79525</cdr:y>
    </cdr:from>
    <cdr:to>
      <cdr:x>0.22425</cdr:x>
      <cdr:y>0.85575</cdr:y>
    </cdr:to>
    <cdr:sp macro="" textlink="">
      <cdr:nvSpPr>
        <cdr:cNvPr id="16399" name="AutoShape 1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952663" y="4421481"/>
          <a:ext cx="103620" cy="338507"/>
        </a:xfrm>
        <a:prstGeom xmlns:a="http://schemas.openxmlformats.org/drawingml/2006/main" prst="leftBrace">
          <a:avLst>
            <a:gd name="adj1" fmla="val 27223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0.1705</cdr:x>
      <cdr:y>0.86325</cdr:y>
    </cdr:from>
    <cdr:to>
      <cdr:x>0.27075</cdr:x>
      <cdr:y>0.89075</cdr:y>
    </cdr:to>
    <cdr:sp macro="" textlink="">
      <cdr:nvSpPr>
        <cdr:cNvPr id="16400" name="AutoShape 16"/>
        <cdr:cNvSpPr>
          <a:spLocks xmlns:a="http://schemas.openxmlformats.org/drawingml/2006/main"/>
        </cdr:cNvSpPr>
      </cdr:nvSpPr>
      <cdr:spPr bwMode="auto">
        <a:xfrm xmlns:a="http://schemas.openxmlformats.org/drawingml/2006/main" rot="6480000">
          <a:off x="1954337" y="4416952"/>
          <a:ext cx="153233" cy="925673"/>
        </a:xfrm>
        <a:prstGeom xmlns:a="http://schemas.openxmlformats.org/drawingml/2006/main" prst="leftBrace">
          <a:avLst>
            <a:gd name="adj1" fmla="val 50341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0.22425</cdr:x>
      <cdr:y>0.83525</cdr:y>
    </cdr:from>
    <cdr:to>
      <cdr:x>0.235</cdr:x>
      <cdr:y>0.85575</cdr:y>
    </cdr:to>
    <cdr:sp macro="" textlink="">
      <cdr:nvSpPr>
        <cdr:cNvPr id="16401" name="AutoShape 1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056283" y="4644366"/>
          <a:ext cx="99015" cy="115622"/>
        </a:xfrm>
        <a:prstGeom xmlns:a="http://schemas.openxmlformats.org/drawingml/2006/main" prst="leftBrace">
          <a:avLst>
            <a:gd name="adj1" fmla="val 9731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0.22425</cdr:x>
      <cdr:y>0.83525</cdr:y>
    </cdr:from>
    <cdr:to>
      <cdr:x>0.235</cdr:x>
      <cdr:y>0.85575</cdr:y>
    </cdr:to>
    <cdr:sp macro="" textlink="">
      <cdr:nvSpPr>
        <cdr:cNvPr id="16402" name="AutoShape 1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056283" y="4644366"/>
          <a:ext cx="99015" cy="115622"/>
        </a:xfrm>
        <a:prstGeom xmlns:a="http://schemas.openxmlformats.org/drawingml/2006/main" prst="leftBrace">
          <a:avLst>
            <a:gd name="adj1" fmla="val 9731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0.22425</cdr:x>
      <cdr:y>0.83525</cdr:y>
    </cdr:from>
    <cdr:to>
      <cdr:x>0.2415</cdr:x>
      <cdr:y>0.99875</cdr:y>
    </cdr:to>
    <cdr:sp macro="" textlink="">
      <cdr:nvSpPr>
        <cdr:cNvPr id="16403" name="AutoShape 1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056283" y="4644366"/>
          <a:ext cx="158884" cy="920794"/>
        </a:xfrm>
        <a:prstGeom xmlns:a="http://schemas.openxmlformats.org/drawingml/2006/main" prst="leftBrace">
          <a:avLst>
            <a:gd name="adj1" fmla="val 48295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0.22425</cdr:x>
      <cdr:y>0.83525</cdr:y>
    </cdr:from>
    <cdr:to>
      <cdr:x>0.2415</cdr:x>
      <cdr:y>0.99875</cdr:y>
    </cdr:to>
    <cdr:sp macro="" textlink="">
      <cdr:nvSpPr>
        <cdr:cNvPr id="16404" name="AutoShape 2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056283" y="4644366"/>
          <a:ext cx="158884" cy="920794"/>
        </a:xfrm>
        <a:prstGeom xmlns:a="http://schemas.openxmlformats.org/drawingml/2006/main" prst="leftBrace">
          <a:avLst>
            <a:gd name="adj1" fmla="val 48295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0.33125</cdr:x>
      <cdr:y>0.8175</cdr:y>
    </cdr:from>
    <cdr:to>
      <cdr:x>0.38275</cdr:x>
      <cdr:y>0.83975</cdr:y>
    </cdr:to>
    <cdr:sp macro="" textlink="">
      <cdr:nvSpPr>
        <cdr:cNvPr id="16405" name="AutoShape 2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048733" y="4545461"/>
          <a:ext cx="474350" cy="123980"/>
        </a:xfrm>
        <a:prstGeom xmlns:a="http://schemas.openxmlformats.org/drawingml/2006/main" prst="leftBrace">
          <a:avLst>
            <a:gd name="adj1" fmla="val 8333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0.0695</cdr:x>
      <cdr:y>0.79525</cdr:y>
    </cdr:from>
    <cdr:to>
      <cdr:x>0.33375</cdr:x>
      <cdr:y>0.812</cdr:y>
    </cdr:to>
    <cdr:sp macro="" textlink="">
      <cdr:nvSpPr>
        <cdr:cNvPr id="16406" name="AutoShape 2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42445" y="4421481"/>
          <a:ext cx="2429315" cy="90547"/>
        </a:xfrm>
        <a:prstGeom xmlns:a="http://schemas.openxmlformats.org/drawingml/2006/main" prst="leftBrace">
          <a:avLst>
            <a:gd name="adj1" fmla="val 8333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0.203</cdr:x>
      <cdr:y>0.79525</cdr:y>
    </cdr:from>
    <cdr:to>
      <cdr:x>0.25875</cdr:x>
      <cdr:y>0.8115</cdr:y>
    </cdr:to>
    <cdr:sp macro="" textlink="">
      <cdr:nvSpPr>
        <cdr:cNvPr id="16407" name="AutoShape 2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862859" y="4421481"/>
          <a:ext cx="511192" cy="90547"/>
        </a:xfrm>
        <a:prstGeom xmlns:a="http://schemas.openxmlformats.org/drawingml/2006/main" prst="leftBrace">
          <a:avLst>
            <a:gd name="adj1" fmla="val 8333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0.21925</cdr:x>
      <cdr:y>0.81075</cdr:y>
    </cdr:from>
    <cdr:to>
      <cdr:x>0.2355</cdr:x>
      <cdr:y>0.975</cdr:y>
    </cdr:to>
    <cdr:sp macro="" textlink="">
      <cdr:nvSpPr>
        <cdr:cNvPr id="16408" name="AutoShape 2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019440" y="4507849"/>
          <a:ext cx="149674" cy="923580"/>
        </a:xfrm>
        <a:prstGeom xmlns:a="http://schemas.openxmlformats.org/drawingml/2006/main" prst="leftBrace">
          <a:avLst>
            <a:gd name="adj1" fmla="val 51422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0.21925</cdr:x>
      <cdr:y>0.83625</cdr:y>
    </cdr:from>
    <cdr:to>
      <cdr:x>0.2355</cdr:x>
      <cdr:y>1</cdr:y>
    </cdr:to>
    <cdr:sp macro="" textlink="">
      <cdr:nvSpPr>
        <cdr:cNvPr id="16409" name="AutoShape 2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019440" y="5030236"/>
          <a:ext cx="149674" cy="920794"/>
        </a:xfrm>
        <a:prstGeom xmlns:a="http://schemas.openxmlformats.org/drawingml/2006/main" prst="leftBrace">
          <a:avLst>
            <a:gd name="adj1" fmla="val 51267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0.21925</cdr:x>
      <cdr:y>0.83625</cdr:y>
    </cdr:from>
    <cdr:to>
      <cdr:x>0.2355</cdr:x>
      <cdr:y>1</cdr:y>
    </cdr:to>
    <cdr:sp macro="" textlink="">
      <cdr:nvSpPr>
        <cdr:cNvPr id="16410" name="AutoShape 2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019440" y="4973122"/>
          <a:ext cx="149674" cy="922186"/>
        </a:xfrm>
        <a:prstGeom xmlns:a="http://schemas.openxmlformats.org/drawingml/2006/main" prst="leftBrace">
          <a:avLst>
            <a:gd name="adj1" fmla="val 51344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0.21925</cdr:x>
      <cdr:y>0.83625</cdr:y>
    </cdr:from>
    <cdr:to>
      <cdr:x>0.2355</cdr:x>
      <cdr:y>1</cdr:y>
    </cdr:to>
    <cdr:sp macro="" textlink="">
      <cdr:nvSpPr>
        <cdr:cNvPr id="16411" name="AutoShape 2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019440" y="4973122"/>
          <a:ext cx="149674" cy="922186"/>
        </a:xfrm>
        <a:prstGeom xmlns:a="http://schemas.openxmlformats.org/drawingml/2006/main" prst="leftBrace">
          <a:avLst>
            <a:gd name="adj1" fmla="val 51344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0.21925</cdr:x>
      <cdr:y>0.83625</cdr:y>
    </cdr:from>
    <cdr:to>
      <cdr:x>0.2355</cdr:x>
      <cdr:y>1</cdr:y>
    </cdr:to>
    <cdr:sp macro="" textlink="">
      <cdr:nvSpPr>
        <cdr:cNvPr id="16412" name="AutoShape 2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019440" y="4973122"/>
          <a:ext cx="149674" cy="922186"/>
        </a:xfrm>
        <a:prstGeom xmlns:a="http://schemas.openxmlformats.org/drawingml/2006/main" prst="leftBrace">
          <a:avLst>
            <a:gd name="adj1" fmla="val 51344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0.21925</cdr:x>
      <cdr:y>0.8365</cdr:y>
    </cdr:from>
    <cdr:to>
      <cdr:x>0.2355</cdr:x>
      <cdr:y>1</cdr:y>
    </cdr:to>
    <cdr:sp macro="" textlink="">
      <cdr:nvSpPr>
        <cdr:cNvPr id="16413" name="AutoShape 2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019440" y="4956405"/>
          <a:ext cx="149674" cy="920794"/>
        </a:xfrm>
        <a:prstGeom xmlns:a="http://schemas.openxmlformats.org/drawingml/2006/main" prst="leftBrace">
          <a:avLst>
            <a:gd name="adj1" fmla="val 51267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0.21925</cdr:x>
      <cdr:y>0.8365</cdr:y>
    </cdr:from>
    <cdr:to>
      <cdr:x>0.2355</cdr:x>
      <cdr:y>1</cdr:y>
    </cdr:to>
    <cdr:sp macro="" textlink="">
      <cdr:nvSpPr>
        <cdr:cNvPr id="16414" name="AutoShape 3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019440" y="4956405"/>
          <a:ext cx="149674" cy="920794"/>
        </a:xfrm>
        <a:prstGeom xmlns:a="http://schemas.openxmlformats.org/drawingml/2006/main" prst="leftBrace">
          <a:avLst>
            <a:gd name="adj1" fmla="val 51267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0.2095</cdr:x>
      <cdr:y>0.7825</cdr:y>
    </cdr:from>
    <cdr:to>
      <cdr:x>0.21975</cdr:x>
      <cdr:y>0.89075</cdr:y>
    </cdr:to>
    <cdr:sp macro="" textlink="">
      <cdr:nvSpPr>
        <cdr:cNvPr id="16415" name="AutoShape 3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922728" y="4347651"/>
          <a:ext cx="96712" cy="608754"/>
        </a:xfrm>
        <a:prstGeom xmlns:a="http://schemas.openxmlformats.org/drawingml/2006/main" prst="leftBrace">
          <a:avLst>
            <a:gd name="adj1" fmla="val 52454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0.21025</cdr:x>
      <cdr:y>0.7825</cdr:y>
    </cdr:from>
    <cdr:to>
      <cdr:x>0.24625</cdr:x>
      <cdr:y>0.83525</cdr:y>
    </cdr:to>
    <cdr:sp macro="" textlink="">
      <cdr:nvSpPr>
        <cdr:cNvPr id="16416" name="AutoShape 3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929636" y="4347651"/>
          <a:ext cx="331585" cy="296715"/>
        </a:xfrm>
        <a:prstGeom xmlns:a="http://schemas.openxmlformats.org/drawingml/2006/main" prst="leftBrace">
          <a:avLst>
            <a:gd name="adj1" fmla="val 8333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0.23</cdr:x>
      <cdr:y>0.813</cdr:y>
    </cdr:from>
    <cdr:to>
      <cdr:x>0.24625</cdr:x>
      <cdr:y>0.9765</cdr:y>
    </cdr:to>
    <cdr:sp macro="" textlink="">
      <cdr:nvSpPr>
        <cdr:cNvPr id="16417" name="AutoShape 3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109245" y="4520386"/>
          <a:ext cx="151976" cy="919401"/>
        </a:xfrm>
        <a:prstGeom xmlns:a="http://schemas.openxmlformats.org/drawingml/2006/main" prst="leftBrace">
          <a:avLst>
            <a:gd name="adj1" fmla="val 50414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0.2355</cdr:x>
      <cdr:y>0.81075</cdr:y>
    </cdr:from>
    <cdr:to>
      <cdr:x>0.252</cdr:x>
      <cdr:y>0.975</cdr:y>
    </cdr:to>
    <cdr:sp macro="" textlink="">
      <cdr:nvSpPr>
        <cdr:cNvPr id="16418" name="AutoShape 3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169114" y="4507849"/>
          <a:ext cx="151976" cy="923580"/>
        </a:xfrm>
        <a:prstGeom xmlns:a="http://schemas.openxmlformats.org/drawingml/2006/main" prst="leftBrace">
          <a:avLst>
            <a:gd name="adj1" fmla="val 50643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0.2355</cdr:x>
      <cdr:y>0.81075</cdr:y>
    </cdr:from>
    <cdr:to>
      <cdr:x>0.252</cdr:x>
      <cdr:y>0.975</cdr:y>
    </cdr:to>
    <cdr:sp macro="" textlink="">
      <cdr:nvSpPr>
        <cdr:cNvPr id="16419" name="AutoShape 3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169114" y="4507849"/>
          <a:ext cx="151976" cy="923580"/>
        </a:xfrm>
        <a:prstGeom xmlns:a="http://schemas.openxmlformats.org/drawingml/2006/main" prst="leftBrace">
          <a:avLst>
            <a:gd name="adj1" fmla="val 50643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0.2355</cdr:x>
      <cdr:y>0.81075</cdr:y>
    </cdr:from>
    <cdr:to>
      <cdr:x>0.252</cdr:x>
      <cdr:y>0.975</cdr:y>
    </cdr:to>
    <cdr:sp macro="" textlink="">
      <cdr:nvSpPr>
        <cdr:cNvPr id="16420" name="AutoShape 3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169114" y="4507849"/>
          <a:ext cx="151976" cy="923580"/>
        </a:xfrm>
        <a:prstGeom xmlns:a="http://schemas.openxmlformats.org/drawingml/2006/main" prst="leftBrace">
          <a:avLst>
            <a:gd name="adj1" fmla="val 50643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0.2355</cdr:x>
      <cdr:y>0.81075</cdr:y>
    </cdr:from>
    <cdr:to>
      <cdr:x>0.252</cdr:x>
      <cdr:y>0.975</cdr:y>
    </cdr:to>
    <cdr:sp macro="" textlink="">
      <cdr:nvSpPr>
        <cdr:cNvPr id="16421" name="AutoShape 3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169114" y="4507849"/>
          <a:ext cx="151976" cy="923580"/>
        </a:xfrm>
        <a:prstGeom xmlns:a="http://schemas.openxmlformats.org/drawingml/2006/main" prst="leftBrace">
          <a:avLst>
            <a:gd name="adj1" fmla="val 50643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0.21925</cdr:x>
      <cdr:y>0.79525</cdr:y>
    </cdr:from>
    <cdr:to>
      <cdr:x>0.27075</cdr:x>
      <cdr:y>0.813</cdr:y>
    </cdr:to>
    <cdr:sp macro="" textlink="">
      <cdr:nvSpPr>
        <cdr:cNvPr id="16422" name="AutoShape 3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019440" y="4421481"/>
          <a:ext cx="474350" cy="98905"/>
        </a:xfrm>
        <a:prstGeom xmlns:a="http://schemas.openxmlformats.org/drawingml/2006/main" prst="leftBrace">
          <a:avLst>
            <a:gd name="adj1" fmla="val 8333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0.2415</cdr:x>
      <cdr:y>0.81075</cdr:y>
    </cdr:from>
    <cdr:to>
      <cdr:x>0.25875</cdr:x>
      <cdr:y>0.975</cdr:y>
    </cdr:to>
    <cdr:sp macro="" textlink="">
      <cdr:nvSpPr>
        <cdr:cNvPr id="16423" name="AutoShape 39"/>
        <cdr:cNvSpPr>
          <a:spLocks xmlns:a="http://schemas.openxmlformats.org/drawingml/2006/main"/>
        </cdr:cNvSpPr>
      </cdr:nvSpPr>
      <cdr:spPr bwMode="auto">
        <a:xfrm xmlns:a="http://schemas.openxmlformats.org/drawingml/2006/main" rot="11400000">
          <a:off x="2215167" y="4507849"/>
          <a:ext cx="158884" cy="923580"/>
        </a:xfrm>
        <a:prstGeom xmlns:a="http://schemas.openxmlformats.org/drawingml/2006/main" prst="leftBrace">
          <a:avLst>
            <a:gd name="adj1" fmla="val 48441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0.24625</cdr:x>
      <cdr:y>0.83625</cdr:y>
    </cdr:from>
    <cdr:to>
      <cdr:x>0.26275</cdr:x>
      <cdr:y>1</cdr:y>
    </cdr:to>
    <cdr:sp macro="" textlink="">
      <cdr:nvSpPr>
        <cdr:cNvPr id="16424" name="AutoShape 4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61221" y="4883968"/>
          <a:ext cx="149673" cy="920793"/>
        </a:xfrm>
        <a:prstGeom xmlns:a="http://schemas.openxmlformats.org/drawingml/2006/main" prst="leftBrace">
          <a:avLst>
            <a:gd name="adj1" fmla="val 51267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0.26225</cdr:x>
      <cdr:y>0.83625</cdr:y>
    </cdr:from>
    <cdr:to>
      <cdr:x>0.278</cdr:x>
      <cdr:y>1</cdr:y>
    </cdr:to>
    <cdr:sp macro="" textlink="">
      <cdr:nvSpPr>
        <cdr:cNvPr id="16425" name="AutoShape 4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410894" y="4883968"/>
          <a:ext cx="149674" cy="920793"/>
        </a:xfrm>
        <a:prstGeom xmlns:a="http://schemas.openxmlformats.org/drawingml/2006/main" prst="leftBrace">
          <a:avLst>
            <a:gd name="adj1" fmla="val 51267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0.26225</cdr:x>
      <cdr:y>0.83625</cdr:y>
    </cdr:from>
    <cdr:to>
      <cdr:x>0.278</cdr:x>
      <cdr:y>1</cdr:y>
    </cdr:to>
    <cdr:sp macro="" textlink="">
      <cdr:nvSpPr>
        <cdr:cNvPr id="16426" name="AutoShape 4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410894" y="4883968"/>
          <a:ext cx="149674" cy="920793"/>
        </a:xfrm>
        <a:prstGeom xmlns:a="http://schemas.openxmlformats.org/drawingml/2006/main" prst="leftBrace">
          <a:avLst>
            <a:gd name="adj1" fmla="val 51267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0.26225</cdr:x>
      <cdr:y>0.83625</cdr:y>
    </cdr:from>
    <cdr:to>
      <cdr:x>0.278</cdr:x>
      <cdr:y>1</cdr:y>
    </cdr:to>
    <cdr:sp macro="" textlink="">
      <cdr:nvSpPr>
        <cdr:cNvPr id="16427" name="AutoShape 4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410894" y="4883968"/>
          <a:ext cx="149674" cy="920793"/>
        </a:xfrm>
        <a:prstGeom xmlns:a="http://schemas.openxmlformats.org/drawingml/2006/main" prst="leftBrace">
          <a:avLst>
            <a:gd name="adj1" fmla="val 51267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0.26225</cdr:x>
      <cdr:y>0.83625</cdr:y>
    </cdr:from>
    <cdr:to>
      <cdr:x>0.278</cdr:x>
      <cdr:y>1</cdr:y>
    </cdr:to>
    <cdr:sp macro="" textlink="">
      <cdr:nvSpPr>
        <cdr:cNvPr id="16428" name="AutoShape 4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410894" y="4883968"/>
          <a:ext cx="149674" cy="920793"/>
        </a:xfrm>
        <a:prstGeom xmlns:a="http://schemas.openxmlformats.org/drawingml/2006/main" prst="leftBrace">
          <a:avLst>
            <a:gd name="adj1" fmla="val 51267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0.26225</cdr:x>
      <cdr:y>0.83625</cdr:y>
    </cdr:from>
    <cdr:to>
      <cdr:x>0.278</cdr:x>
      <cdr:y>1</cdr:y>
    </cdr:to>
    <cdr:sp macro="" textlink="">
      <cdr:nvSpPr>
        <cdr:cNvPr id="16429" name="AutoShape 4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410894" y="4883968"/>
          <a:ext cx="149674" cy="920793"/>
        </a:xfrm>
        <a:prstGeom xmlns:a="http://schemas.openxmlformats.org/drawingml/2006/main" prst="leftBrace">
          <a:avLst>
            <a:gd name="adj1" fmla="val 51267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0.21225</cdr:x>
      <cdr:y>0.79525</cdr:y>
    </cdr:from>
    <cdr:to>
      <cdr:x>0.252</cdr:x>
      <cdr:y>0.96025</cdr:y>
    </cdr:to>
    <cdr:sp macro="" textlink="">
      <cdr:nvSpPr>
        <cdr:cNvPr id="16430" name="AutoShape 4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952663" y="4421481"/>
          <a:ext cx="368427" cy="927759"/>
        </a:xfrm>
        <a:prstGeom xmlns:a="http://schemas.openxmlformats.org/drawingml/2006/main" prst="leftBrace">
          <a:avLst>
            <a:gd name="adj1" fmla="val 20985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0.21975</cdr:x>
      <cdr:y>0.7825</cdr:y>
    </cdr:from>
    <cdr:to>
      <cdr:x>0.25775</cdr:x>
      <cdr:y>0.91875</cdr:y>
    </cdr:to>
    <cdr:sp macro="" textlink="">
      <cdr:nvSpPr>
        <cdr:cNvPr id="16431" name="AutoShape 4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019440" y="4347651"/>
          <a:ext cx="345401" cy="767560"/>
        </a:xfrm>
        <a:prstGeom xmlns:a="http://schemas.openxmlformats.org/drawingml/2006/main" prst="leftBrace">
          <a:avLst>
            <a:gd name="adj1" fmla="val 18519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0.24625</cdr:x>
      <cdr:y>0.79525</cdr:y>
    </cdr:from>
    <cdr:to>
      <cdr:x>0.26275</cdr:x>
      <cdr:y>0.95925</cdr:y>
    </cdr:to>
    <cdr:sp macro="" textlink="">
      <cdr:nvSpPr>
        <cdr:cNvPr id="16432" name="AutoShape 4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61221" y="4421481"/>
          <a:ext cx="149673" cy="922187"/>
        </a:xfrm>
        <a:prstGeom xmlns:a="http://schemas.openxmlformats.org/drawingml/2006/main" prst="leftBrace">
          <a:avLst>
            <a:gd name="adj1" fmla="val 51345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0.24625</cdr:x>
      <cdr:y>0.79525</cdr:y>
    </cdr:from>
    <cdr:to>
      <cdr:x>0.26275</cdr:x>
      <cdr:y>0.95925</cdr:y>
    </cdr:to>
    <cdr:sp macro="" textlink="" fLocksText="0">
      <cdr:nvSpPr>
        <cdr:cNvPr id="16433" name="AutoShape 4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61221" y="4421481"/>
          <a:ext cx="149673" cy="922187"/>
        </a:xfrm>
        <a:prstGeom xmlns:a="http://schemas.openxmlformats.org/drawingml/2006/main" prst="leftBrace">
          <a:avLst>
            <a:gd name="adj1" fmla="val 51345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0.2355</cdr:x>
      <cdr:y>0.79525</cdr:y>
    </cdr:from>
    <cdr:to>
      <cdr:x>0.246</cdr:x>
      <cdr:y>0.812</cdr:y>
    </cdr:to>
    <cdr:sp macro="" textlink="">
      <cdr:nvSpPr>
        <cdr:cNvPr id="16434" name="AutoShape 5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169114" y="4421481"/>
          <a:ext cx="92107" cy="90547"/>
        </a:xfrm>
        <a:prstGeom xmlns:a="http://schemas.openxmlformats.org/drawingml/2006/main" prst="leftBrace">
          <a:avLst>
            <a:gd name="adj1" fmla="val 8333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0.2355</cdr:x>
      <cdr:y>0.79525</cdr:y>
    </cdr:from>
    <cdr:to>
      <cdr:x>0.252</cdr:x>
      <cdr:y>0.95925</cdr:y>
    </cdr:to>
    <cdr:sp macro="" textlink="">
      <cdr:nvSpPr>
        <cdr:cNvPr id="16435" name="AutoShape 51"/>
        <cdr:cNvSpPr>
          <a:spLocks xmlns:a="http://schemas.openxmlformats.org/drawingml/2006/main"/>
        </cdr:cNvSpPr>
      </cdr:nvSpPr>
      <cdr:spPr bwMode="auto">
        <a:xfrm xmlns:a="http://schemas.openxmlformats.org/drawingml/2006/main" rot="10800000">
          <a:off x="2169114" y="4421481"/>
          <a:ext cx="151976" cy="922187"/>
        </a:xfrm>
        <a:prstGeom xmlns:a="http://schemas.openxmlformats.org/drawingml/2006/main" prst="leftBrace">
          <a:avLst>
            <a:gd name="adj1" fmla="val 50566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0.24625</cdr:x>
      <cdr:y>0.83625</cdr:y>
    </cdr:from>
    <cdr:to>
      <cdr:x>0.26275</cdr:x>
      <cdr:y>1</cdr:y>
    </cdr:to>
    <cdr:sp macro="" textlink="">
      <cdr:nvSpPr>
        <cdr:cNvPr id="16436" name="AutoShape 5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61221" y="4759988"/>
          <a:ext cx="149673" cy="920793"/>
        </a:xfrm>
        <a:prstGeom xmlns:a="http://schemas.openxmlformats.org/drawingml/2006/main" prst="leftBrace">
          <a:avLst>
            <a:gd name="adj1" fmla="val 51267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0.27075</cdr:x>
      <cdr:y>0.83625</cdr:y>
    </cdr:from>
    <cdr:to>
      <cdr:x>0.28725</cdr:x>
      <cdr:y>1</cdr:y>
    </cdr:to>
    <cdr:sp macro="" textlink="">
      <cdr:nvSpPr>
        <cdr:cNvPr id="16437" name="AutoShape 5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493790" y="4874216"/>
          <a:ext cx="149674" cy="920794"/>
        </a:xfrm>
        <a:prstGeom xmlns:a="http://schemas.openxmlformats.org/drawingml/2006/main" prst="leftBrace">
          <a:avLst>
            <a:gd name="adj1" fmla="val 51267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0.27075</cdr:x>
      <cdr:y>0.83625</cdr:y>
    </cdr:from>
    <cdr:to>
      <cdr:x>0.28725</cdr:x>
      <cdr:y>1</cdr:y>
    </cdr:to>
    <cdr:sp macro="" textlink="">
      <cdr:nvSpPr>
        <cdr:cNvPr id="16438" name="AutoShape 5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493790" y="4874216"/>
          <a:ext cx="149674" cy="920794"/>
        </a:xfrm>
        <a:prstGeom xmlns:a="http://schemas.openxmlformats.org/drawingml/2006/main" prst="leftBrace">
          <a:avLst>
            <a:gd name="adj1" fmla="val 51267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0.16375</cdr:x>
      <cdr:y>0.77525</cdr:y>
    </cdr:from>
    <cdr:to>
      <cdr:x>0.27075</cdr:x>
      <cdr:y>0.85575</cdr:y>
    </cdr:to>
    <cdr:sp macro="" textlink="">
      <cdr:nvSpPr>
        <cdr:cNvPr id="16439" name="AutoShape 5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508248" y="4305860"/>
          <a:ext cx="985542" cy="454128"/>
        </a:xfrm>
        <a:prstGeom xmlns:a="http://schemas.openxmlformats.org/drawingml/2006/main" prst="leftBrace">
          <a:avLst>
            <a:gd name="adj1" fmla="val 8333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0.16425</cdr:x>
      <cdr:y>0.7825</cdr:y>
    </cdr:from>
    <cdr:to>
      <cdr:x>0.2415</cdr:x>
      <cdr:y>0.8245</cdr:y>
    </cdr:to>
    <cdr:sp macro="" textlink="">
      <cdr:nvSpPr>
        <cdr:cNvPr id="16440" name="AutoShape 5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508248" y="4347651"/>
          <a:ext cx="706919" cy="235422"/>
        </a:xfrm>
        <a:prstGeom xmlns:a="http://schemas.openxmlformats.org/drawingml/2006/main" prst="leftBrace">
          <a:avLst>
            <a:gd name="adj1" fmla="val 8333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0.203</cdr:x>
      <cdr:y>0.7825</cdr:y>
    </cdr:from>
    <cdr:to>
      <cdr:x>0.21975</cdr:x>
      <cdr:y>0.94575</cdr:y>
    </cdr:to>
    <cdr:sp macro="" textlink="">
      <cdr:nvSpPr>
        <cdr:cNvPr id="16441" name="AutoShape 5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862859" y="4347651"/>
          <a:ext cx="156581" cy="919400"/>
        </a:xfrm>
        <a:prstGeom xmlns:a="http://schemas.openxmlformats.org/drawingml/2006/main" prst="leftBrace">
          <a:avLst>
            <a:gd name="adj1" fmla="val 48931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0.1695</cdr:x>
      <cdr:y>0.918</cdr:y>
    </cdr:from>
    <cdr:to>
      <cdr:x>0.25275</cdr:x>
      <cdr:y>0.94575</cdr:y>
    </cdr:to>
    <cdr:sp macro="" textlink="">
      <cdr:nvSpPr>
        <cdr:cNvPr id="16442" name="AutoShape 58"/>
        <cdr:cNvSpPr>
          <a:spLocks xmlns:a="http://schemas.openxmlformats.org/drawingml/2006/main"/>
        </cdr:cNvSpPr>
      </cdr:nvSpPr>
      <cdr:spPr bwMode="auto">
        <a:xfrm xmlns:a="http://schemas.openxmlformats.org/drawingml/2006/main" rot="5400000">
          <a:off x="1866594" y="4805647"/>
          <a:ext cx="156019" cy="766789"/>
        </a:xfrm>
        <a:prstGeom xmlns:a="http://schemas.openxmlformats.org/drawingml/2006/main" prst="leftBrace">
          <a:avLst>
            <a:gd name="adj1" fmla="val 40956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0.22425</cdr:x>
      <cdr:y>0.83625</cdr:y>
    </cdr:from>
    <cdr:to>
      <cdr:x>0.2415</cdr:x>
      <cdr:y>1</cdr:y>
    </cdr:to>
    <cdr:sp macro="" textlink="">
      <cdr:nvSpPr>
        <cdr:cNvPr id="16443" name="AutoShape 5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056283" y="5030236"/>
          <a:ext cx="158884" cy="920794"/>
        </a:xfrm>
        <a:prstGeom xmlns:a="http://schemas.openxmlformats.org/drawingml/2006/main" prst="leftBrace">
          <a:avLst>
            <a:gd name="adj1" fmla="val 48295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0.22425</cdr:x>
      <cdr:y>0.83625</cdr:y>
    </cdr:from>
    <cdr:to>
      <cdr:x>0.2415</cdr:x>
      <cdr:y>1</cdr:y>
    </cdr:to>
    <cdr:sp macro="" textlink="">
      <cdr:nvSpPr>
        <cdr:cNvPr id="16444" name="AutoShape 6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056283" y="5030236"/>
          <a:ext cx="158884" cy="920794"/>
        </a:xfrm>
        <a:prstGeom xmlns:a="http://schemas.openxmlformats.org/drawingml/2006/main" prst="leftBrace">
          <a:avLst>
            <a:gd name="adj1" fmla="val 48295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0.22425</cdr:x>
      <cdr:y>0.7825</cdr:y>
    </cdr:from>
    <cdr:to>
      <cdr:x>0.25875</cdr:x>
      <cdr:y>0.85575</cdr:y>
    </cdr:to>
    <cdr:sp macro="" textlink="">
      <cdr:nvSpPr>
        <cdr:cNvPr id="16445" name="AutoShape 6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056283" y="4347651"/>
          <a:ext cx="317768" cy="412337"/>
        </a:xfrm>
        <a:prstGeom xmlns:a="http://schemas.openxmlformats.org/drawingml/2006/main" prst="leftBrace">
          <a:avLst>
            <a:gd name="adj1" fmla="val 10813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0.23</cdr:x>
      <cdr:y>0.758</cdr:y>
    </cdr:from>
    <cdr:to>
      <cdr:x>0.2415</cdr:x>
      <cdr:y>0.7825</cdr:y>
    </cdr:to>
    <cdr:sp macro="" textlink="">
      <cdr:nvSpPr>
        <cdr:cNvPr id="16446" name="AutoShape 6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109245" y="4211133"/>
          <a:ext cx="105922" cy="136518"/>
        </a:xfrm>
        <a:prstGeom xmlns:a="http://schemas.openxmlformats.org/drawingml/2006/main" prst="leftBrace">
          <a:avLst>
            <a:gd name="adj1" fmla="val 10740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0.22475</cdr:x>
      <cdr:y>0.758</cdr:y>
    </cdr:from>
    <cdr:to>
      <cdr:x>0.278</cdr:x>
      <cdr:y>0.876</cdr:y>
    </cdr:to>
    <cdr:sp macro="" textlink="">
      <cdr:nvSpPr>
        <cdr:cNvPr id="16447" name="AutoShape 6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065494" y="4211133"/>
          <a:ext cx="495074" cy="663083"/>
        </a:xfrm>
        <a:prstGeom xmlns:a="http://schemas.openxmlformats.org/drawingml/2006/main" prst="leftBrace">
          <a:avLst>
            <a:gd name="adj1" fmla="val 11161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0.27525</cdr:x>
      <cdr:y>0.76775</cdr:y>
    </cdr:from>
    <cdr:to>
      <cdr:x>0.29125</cdr:x>
      <cdr:y>0.93075</cdr:y>
    </cdr:to>
    <cdr:sp macro="" textlink="">
      <cdr:nvSpPr>
        <cdr:cNvPr id="16448" name="AutoShape 6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530633" y="4265462"/>
          <a:ext cx="149673" cy="916614"/>
        </a:xfrm>
        <a:prstGeom xmlns:a="http://schemas.openxmlformats.org/drawingml/2006/main" prst="leftBrace">
          <a:avLst>
            <a:gd name="adj1" fmla="val 51034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0.26225</cdr:x>
      <cdr:y>0.83525</cdr:y>
    </cdr:from>
    <cdr:to>
      <cdr:x>0.278</cdr:x>
      <cdr:y>0.99875</cdr:y>
    </cdr:to>
    <cdr:sp macro="" textlink="">
      <cdr:nvSpPr>
        <cdr:cNvPr id="16449" name="AutoShape 6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410894" y="4644366"/>
          <a:ext cx="149674" cy="920794"/>
        </a:xfrm>
        <a:prstGeom xmlns:a="http://schemas.openxmlformats.org/drawingml/2006/main" prst="leftBrace">
          <a:avLst>
            <a:gd name="adj1" fmla="val 51267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0.26225</cdr:x>
      <cdr:y>0.83525</cdr:y>
    </cdr:from>
    <cdr:to>
      <cdr:x>0.278</cdr:x>
      <cdr:y>0.99875</cdr:y>
    </cdr:to>
    <cdr:sp macro="" textlink="">
      <cdr:nvSpPr>
        <cdr:cNvPr id="16450" name="AutoShape 6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410894" y="4644366"/>
          <a:ext cx="149674" cy="920794"/>
        </a:xfrm>
        <a:prstGeom xmlns:a="http://schemas.openxmlformats.org/drawingml/2006/main" prst="leftBrace">
          <a:avLst>
            <a:gd name="adj1" fmla="val 51267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0.25025</cdr:x>
      <cdr:y>0.83525</cdr:y>
    </cdr:from>
    <cdr:to>
      <cdr:x>0.2665</cdr:x>
      <cdr:y>0.99875</cdr:y>
    </cdr:to>
    <cdr:sp macro="" textlink="">
      <cdr:nvSpPr>
        <cdr:cNvPr id="16451" name="AutoShape 6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304971" y="4644366"/>
          <a:ext cx="149674" cy="920794"/>
        </a:xfrm>
        <a:prstGeom xmlns:a="http://schemas.openxmlformats.org/drawingml/2006/main" prst="leftBrace">
          <a:avLst>
            <a:gd name="adj1" fmla="val 51267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0.15723</cdr:x>
      <cdr:y>0.83826</cdr:y>
    </cdr:from>
    <cdr:to>
      <cdr:x>0.38889</cdr:x>
      <cdr:y>0.96734</cdr:y>
    </cdr:to>
    <cdr:sp macro="" textlink="">
      <cdr:nvSpPr>
        <cdr:cNvPr id="16452" name="AutoShape 6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329069" y="4775789"/>
          <a:ext cx="1958163" cy="735418"/>
        </a:xfrm>
        <a:prstGeom xmlns:a="http://schemas.openxmlformats.org/drawingml/2006/main" prst="leftBrace">
          <a:avLst>
            <a:gd name="adj1" fmla="val 51267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</cdr:x>
      <cdr:y>0</cdr:y>
    </cdr:from>
    <cdr:to>
      <cdr:x>0.01675</cdr:x>
      <cdr:y>0.17725</cdr:y>
    </cdr:to>
    <cdr:sp macro="" textlink="">
      <cdr:nvSpPr>
        <cdr:cNvPr id="16453" name="AutoShape 6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0" y="0"/>
          <a:ext cx="154279" cy="837212"/>
        </a:xfrm>
        <a:prstGeom xmlns:a="http://schemas.openxmlformats.org/drawingml/2006/main" prst="leftBrace">
          <a:avLst>
            <a:gd name="adj1" fmla="val 45222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0.65618</cdr:x>
      <cdr:y>0.86159</cdr:y>
    </cdr:from>
    <cdr:to>
      <cdr:x>0.78931</cdr:x>
      <cdr:y>0.92535</cdr:y>
    </cdr:to>
    <cdr:sp macro="" textlink="">
      <cdr:nvSpPr>
        <cdr:cNvPr id="36409" name="AutoShape 70"/>
        <cdr:cNvSpPr>
          <a:spLocks xmlns:a="http://schemas.openxmlformats.org/drawingml/2006/main"/>
        </cdr:cNvSpPr>
      </cdr:nvSpPr>
      <cdr:spPr bwMode="auto">
        <a:xfrm xmlns:a="http://schemas.openxmlformats.org/drawingml/2006/main" rot="-5400000">
          <a:off x="5927672" y="4527700"/>
          <a:ext cx="363258" cy="1125292"/>
        </a:xfrm>
        <a:prstGeom xmlns:a="http://schemas.openxmlformats.org/drawingml/2006/main" prst="leftBrace">
          <a:avLst>
            <a:gd name="adj1" fmla="val 42631"/>
            <a:gd name="adj2" fmla="val 47990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0.2415</cdr:x>
      <cdr:y>0.83625</cdr:y>
    </cdr:from>
    <cdr:to>
      <cdr:x>0.25875</cdr:x>
      <cdr:y>1</cdr:y>
    </cdr:to>
    <cdr:sp macro="" textlink="">
      <cdr:nvSpPr>
        <cdr:cNvPr id="16455" name="AutoShape 7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15167" y="4803172"/>
          <a:ext cx="158884" cy="920793"/>
        </a:xfrm>
        <a:prstGeom xmlns:a="http://schemas.openxmlformats.org/drawingml/2006/main" prst="leftBrace">
          <a:avLst>
            <a:gd name="adj1" fmla="val 48295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0.2415</cdr:x>
      <cdr:y>0.83625</cdr:y>
    </cdr:from>
    <cdr:to>
      <cdr:x>0.25875</cdr:x>
      <cdr:y>1</cdr:y>
    </cdr:to>
    <cdr:sp macro="" textlink="">
      <cdr:nvSpPr>
        <cdr:cNvPr id="16456" name="AutoShape 7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15167" y="4803172"/>
          <a:ext cx="158884" cy="920793"/>
        </a:xfrm>
        <a:prstGeom xmlns:a="http://schemas.openxmlformats.org/drawingml/2006/main" prst="leftBrace">
          <a:avLst>
            <a:gd name="adj1" fmla="val 48295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0.20725</cdr:x>
      <cdr:y>0.918</cdr:y>
    </cdr:from>
    <cdr:to>
      <cdr:x>0.29125</cdr:x>
      <cdr:y>0.94575</cdr:y>
    </cdr:to>
    <cdr:sp macro="" textlink="">
      <cdr:nvSpPr>
        <cdr:cNvPr id="16457" name="AutoShape 73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>
          <a:off x="2215448" y="4802194"/>
          <a:ext cx="156019" cy="773696"/>
        </a:xfrm>
        <a:prstGeom xmlns:a="http://schemas.openxmlformats.org/drawingml/2006/main" prst="leftBrace">
          <a:avLst>
            <a:gd name="adj1" fmla="val 41325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0.195</cdr:x>
      <cdr:y>0.83525</cdr:y>
    </cdr:from>
    <cdr:to>
      <cdr:x>0.23</cdr:x>
      <cdr:y>0.876</cdr:y>
    </cdr:to>
    <cdr:sp macro="" textlink="">
      <cdr:nvSpPr>
        <cdr:cNvPr id="16458" name="AutoShape 7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786871" y="4644366"/>
          <a:ext cx="322374" cy="229850"/>
        </a:xfrm>
        <a:prstGeom xmlns:a="http://schemas.openxmlformats.org/drawingml/2006/main" prst="leftBrace">
          <a:avLst>
            <a:gd name="adj1" fmla="val 8333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0.2085</cdr:x>
      <cdr:y>0.836</cdr:y>
    </cdr:from>
    <cdr:to>
      <cdr:x>0.22525</cdr:x>
      <cdr:y>1</cdr:y>
    </cdr:to>
    <cdr:sp macro="" textlink="">
      <cdr:nvSpPr>
        <cdr:cNvPr id="16459" name="AutoShape 7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913518" y="4704267"/>
          <a:ext cx="151976" cy="923579"/>
        </a:xfrm>
        <a:prstGeom xmlns:a="http://schemas.openxmlformats.org/drawingml/2006/main" prst="leftBrace">
          <a:avLst>
            <a:gd name="adj1" fmla="val 50643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0.202</cdr:x>
      <cdr:y>0.8245</cdr:y>
    </cdr:from>
    <cdr:to>
      <cdr:x>0.213</cdr:x>
      <cdr:y>0.84575</cdr:y>
    </cdr:to>
    <cdr:sp macro="" textlink="">
      <cdr:nvSpPr>
        <cdr:cNvPr id="16460" name="AutoShape 7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853648" y="4583073"/>
          <a:ext cx="99015" cy="121194"/>
        </a:xfrm>
        <a:prstGeom xmlns:a="http://schemas.openxmlformats.org/drawingml/2006/main" prst="leftBrace">
          <a:avLst>
            <a:gd name="adj1" fmla="val 10200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0.213</cdr:x>
      <cdr:y>0.836</cdr:y>
    </cdr:from>
    <cdr:to>
      <cdr:x>0.22925</cdr:x>
      <cdr:y>1</cdr:y>
    </cdr:to>
    <cdr:sp macro="" textlink="">
      <cdr:nvSpPr>
        <cdr:cNvPr id="16461" name="AutoShape 7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952663" y="4704267"/>
          <a:ext cx="149674" cy="923579"/>
        </a:xfrm>
        <a:prstGeom xmlns:a="http://schemas.openxmlformats.org/drawingml/2006/main" prst="leftBrace">
          <a:avLst>
            <a:gd name="adj1" fmla="val 51422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0.20775</cdr:x>
      <cdr:y>0.83525</cdr:y>
    </cdr:from>
    <cdr:to>
      <cdr:x>0.25025</cdr:x>
      <cdr:y>0.90375</cdr:y>
    </cdr:to>
    <cdr:sp macro="" textlink="">
      <cdr:nvSpPr>
        <cdr:cNvPr id="16462" name="AutoShape 7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913518" y="4644366"/>
          <a:ext cx="391453" cy="385870"/>
        </a:xfrm>
        <a:prstGeom xmlns:a="http://schemas.openxmlformats.org/drawingml/2006/main" prst="leftBrace">
          <a:avLst>
            <a:gd name="adj1" fmla="val 8333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0.19025</cdr:x>
      <cdr:y>0.92475</cdr:y>
    </cdr:from>
    <cdr:to>
      <cdr:x>0.26575</cdr:x>
      <cdr:y>0.9515</cdr:y>
    </cdr:to>
    <cdr:sp macro="" textlink="">
      <cdr:nvSpPr>
        <cdr:cNvPr id="16463" name="AutoShape 79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>
          <a:off x="2022962" y="4874316"/>
          <a:ext cx="151841" cy="697709"/>
        </a:xfrm>
        <a:prstGeom xmlns:a="http://schemas.openxmlformats.org/drawingml/2006/main" prst="leftBrace">
          <a:avLst>
            <a:gd name="adj1" fmla="val 38292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0.2085</cdr:x>
      <cdr:y>0.7825</cdr:y>
    </cdr:from>
    <cdr:to>
      <cdr:x>0.22925</cdr:x>
      <cdr:y>0.9745</cdr:y>
    </cdr:to>
    <cdr:sp macro="" textlink="">
      <cdr:nvSpPr>
        <cdr:cNvPr id="16464" name="AutoShape 8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913518" y="4347651"/>
          <a:ext cx="188819" cy="1080992"/>
        </a:xfrm>
        <a:prstGeom xmlns:a="http://schemas.openxmlformats.org/drawingml/2006/main" prst="leftBrace">
          <a:avLst>
            <a:gd name="adj1" fmla="val 47708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0.21925</cdr:x>
      <cdr:y>0.7825</cdr:y>
    </cdr:from>
    <cdr:to>
      <cdr:x>0.27075</cdr:x>
      <cdr:y>0.89075</cdr:y>
    </cdr:to>
    <cdr:sp macro="" textlink="">
      <cdr:nvSpPr>
        <cdr:cNvPr id="16465" name="AutoShape 8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853295" y="4458119"/>
          <a:ext cx="435323" cy="616730"/>
        </a:xfrm>
        <a:prstGeom xmlns:a="http://schemas.openxmlformats.org/drawingml/2006/main" prst="leftBrace">
          <a:avLst>
            <a:gd name="adj1" fmla="val 10695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0.25975</cdr:x>
      <cdr:y>0.83625</cdr:y>
    </cdr:from>
    <cdr:to>
      <cdr:x>0.276</cdr:x>
      <cdr:y>1</cdr:y>
    </cdr:to>
    <cdr:sp macro="" textlink="">
      <cdr:nvSpPr>
        <cdr:cNvPr id="16466" name="AutoShape 8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195637" y="4764348"/>
          <a:ext cx="137359" cy="932929"/>
        </a:xfrm>
        <a:prstGeom xmlns:a="http://schemas.openxmlformats.org/drawingml/2006/main" prst="leftBrace">
          <a:avLst>
            <a:gd name="adj1" fmla="val 51267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0.2665</cdr:x>
      <cdr:y>0.83625</cdr:y>
    </cdr:from>
    <cdr:to>
      <cdr:x>0.39727</cdr:x>
      <cdr:y>1</cdr:y>
    </cdr:to>
    <cdr:sp macro="" textlink="">
      <cdr:nvSpPr>
        <cdr:cNvPr id="16467" name="AutoShape 8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52693" y="4764348"/>
          <a:ext cx="1105423" cy="932929"/>
        </a:xfrm>
        <a:prstGeom xmlns:a="http://schemas.openxmlformats.org/drawingml/2006/main" prst="leftBrace">
          <a:avLst>
            <a:gd name="adj1" fmla="val 48295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0.27725</cdr:x>
      <cdr:y>0.8935</cdr:y>
    </cdr:from>
    <cdr:to>
      <cdr:x>0.28725</cdr:x>
      <cdr:y>0.91</cdr:y>
    </cdr:to>
    <cdr:sp macro="" textlink="">
      <cdr:nvSpPr>
        <cdr:cNvPr id="16468" name="AutoShape 8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553660" y="4973122"/>
          <a:ext cx="89804" cy="93333"/>
        </a:xfrm>
        <a:prstGeom xmlns:a="http://schemas.openxmlformats.org/drawingml/2006/main" prst="leftBrace">
          <a:avLst>
            <a:gd name="adj1" fmla="val 8661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0.28725</cdr:x>
      <cdr:y>0.83625</cdr:y>
    </cdr:from>
    <cdr:to>
      <cdr:x>0.3045</cdr:x>
      <cdr:y>1</cdr:y>
    </cdr:to>
    <cdr:sp macro="" textlink="">
      <cdr:nvSpPr>
        <cdr:cNvPr id="16469" name="AutoShape 8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643464" y="4973122"/>
          <a:ext cx="158884" cy="922186"/>
        </a:xfrm>
        <a:prstGeom xmlns:a="http://schemas.openxmlformats.org/drawingml/2006/main" prst="leftBrace">
          <a:avLst>
            <a:gd name="adj1" fmla="val 48368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0.28725</cdr:x>
      <cdr:y>0.83625</cdr:y>
    </cdr:from>
    <cdr:to>
      <cdr:x>0.3045</cdr:x>
      <cdr:y>1</cdr:y>
    </cdr:to>
    <cdr:sp macro="" textlink="">
      <cdr:nvSpPr>
        <cdr:cNvPr id="16470" name="AutoShape 8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643464" y="4973122"/>
          <a:ext cx="158884" cy="922186"/>
        </a:xfrm>
        <a:prstGeom xmlns:a="http://schemas.openxmlformats.org/drawingml/2006/main" prst="leftBrace">
          <a:avLst>
            <a:gd name="adj1" fmla="val 48368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0.28725</cdr:x>
      <cdr:y>0.83625</cdr:y>
    </cdr:from>
    <cdr:to>
      <cdr:x>0.3045</cdr:x>
      <cdr:y>1</cdr:y>
    </cdr:to>
    <cdr:sp macro="" textlink="">
      <cdr:nvSpPr>
        <cdr:cNvPr id="16471" name="AutoShape 8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643464" y="4973122"/>
          <a:ext cx="158884" cy="922186"/>
        </a:xfrm>
        <a:prstGeom xmlns:a="http://schemas.openxmlformats.org/drawingml/2006/main" prst="leftBrace">
          <a:avLst>
            <a:gd name="adj1" fmla="val 48368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0.28725</cdr:x>
      <cdr:y>0.83625</cdr:y>
    </cdr:from>
    <cdr:to>
      <cdr:x>0.3045</cdr:x>
      <cdr:y>1</cdr:y>
    </cdr:to>
    <cdr:sp macro="" textlink="">
      <cdr:nvSpPr>
        <cdr:cNvPr id="16472" name="AutoShape 8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643464" y="4973122"/>
          <a:ext cx="158884" cy="922186"/>
        </a:xfrm>
        <a:prstGeom xmlns:a="http://schemas.openxmlformats.org/drawingml/2006/main" prst="leftBrace">
          <a:avLst>
            <a:gd name="adj1" fmla="val 48368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0.26419</cdr:x>
      <cdr:y>0.83625</cdr:y>
    </cdr:from>
    <cdr:to>
      <cdr:x>0.28144</cdr:x>
      <cdr:y>1</cdr:y>
    </cdr:to>
    <cdr:sp macro="" textlink="">
      <cdr:nvSpPr>
        <cdr:cNvPr id="16473" name="AutoShape 8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33161" y="4790929"/>
          <a:ext cx="145812" cy="932929"/>
        </a:xfrm>
        <a:prstGeom xmlns:a="http://schemas.openxmlformats.org/drawingml/2006/main" prst="leftBrace">
          <a:avLst>
            <a:gd name="adj1" fmla="val 48368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0.19425</cdr:x>
      <cdr:y>0.79525</cdr:y>
    </cdr:from>
    <cdr:to>
      <cdr:x>0.47275</cdr:x>
      <cdr:y>0.8935</cdr:y>
    </cdr:to>
    <cdr:sp macro="" textlink="">
      <cdr:nvSpPr>
        <cdr:cNvPr id="16474" name="AutoShape 9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641972" y="4530760"/>
          <a:ext cx="2354097" cy="559757"/>
        </a:xfrm>
        <a:prstGeom xmlns:a="http://schemas.openxmlformats.org/drawingml/2006/main" prst="leftBrace">
          <a:avLst>
            <a:gd name="adj1" fmla="val 8333"/>
            <a:gd name="adj2" fmla="val 64246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0.241</cdr:x>
      <cdr:y>0.7705</cdr:y>
    </cdr:from>
    <cdr:to>
      <cdr:x>0.251</cdr:x>
      <cdr:y>0.84575</cdr:y>
    </cdr:to>
    <cdr:sp macro="" textlink="">
      <cdr:nvSpPr>
        <cdr:cNvPr id="16475" name="AutoShape 9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15167" y="4280785"/>
          <a:ext cx="96712" cy="423482"/>
        </a:xfrm>
        <a:prstGeom xmlns:a="http://schemas.openxmlformats.org/drawingml/2006/main" prst="leftBrace">
          <a:avLst>
            <a:gd name="adj1" fmla="val 36490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0.2355</cdr:x>
      <cdr:y>0.7705</cdr:y>
    </cdr:from>
    <cdr:to>
      <cdr:x>0.2465</cdr:x>
      <cdr:y>0.86325</cdr:y>
    </cdr:to>
    <cdr:sp macro="" textlink="">
      <cdr:nvSpPr>
        <cdr:cNvPr id="16476" name="AutoShape 9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169114" y="4280785"/>
          <a:ext cx="99015" cy="522387"/>
        </a:xfrm>
        <a:prstGeom xmlns:a="http://schemas.openxmlformats.org/drawingml/2006/main" prst="leftBrace">
          <a:avLst>
            <a:gd name="adj1" fmla="val 43965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0.22925</cdr:x>
      <cdr:y>0.8175</cdr:y>
    </cdr:from>
    <cdr:to>
      <cdr:x>0.24525</cdr:x>
      <cdr:y>0.9815</cdr:y>
    </cdr:to>
    <cdr:sp macro="" textlink="" fLocksText="0">
      <cdr:nvSpPr>
        <cdr:cNvPr id="16477" name="AutoShape 9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102337" y="4545461"/>
          <a:ext cx="149673" cy="922187"/>
        </a:xfrm>
        <a:prstGeom xmlns:a="http://schemas.openxmlformats.org/drawingml/2006/main" prst="leftBrace">
          <a:avLst>
            <a:gd name="adj1" fmla="val 51345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0.195</cdr:x>
      <cdr:y>0.93175</cdr:y>
    </cdr:from>
    <cdr:to>
      <cdr:x>0.26225</cdr:x>
      <cdr:y>0.95875</cdr:y>
    </cdr:to>
    <cdr:sp macro="" textlink="" fLocksText="0">
      <cdr:nvSpPr>
        <cdr:cNvPr id="16478" name="AutoShape 94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>
          <a:off x="2019508" y="4955011"/>
          <a:ext cx="151841" cy="617115"/>
        </a:xfrm>
        <a:prstGeom xmlns:a="http://schemas.openxmlformats.org/drawingml/2006/main" prst="leftBrace">
          <a:avLst>
            <a:gd name="adj1" fmla="val 33868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0.19025</cdr:x>
      <cdr:y>0.9255</cdr:y>
    </cdr:from>
    <cdr:to>
      <cdr:x>0.25025</cdr:x>
      <cdr:y>0.951</cdr:y>
    </cdr:to>
    <cdr:sp macro="" textlink="">
      <cdr:nvSpPr>
        <cdr:cNvPr id="16479" name="AutoShape 9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750028" y="5152823"/>
          <a:ext cx="554943" cy="143482"/>
        </a:xfrm>
        <a:prstGeom xmlns:a="http://schemas.openxmlformats.org/drawingml/2006/main" prst="leftBrace">
          <a:avLst>
            <a:gd name="adj1" fmla="val 8333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0.26699</cdr:x>
      <cdr:y>0.81386</cdr:y>
    </cdr:from>
    <cdr:to>
      <cdr:x>0.50105</cdr:x>
      <cdr:y>0.97811</cdr:y>
    </cdr:to>
    <cdr:sp macro="" textlink="">
      <cdr:nvSpPr>
        <cdr:cNvPr id="16483" name="AutoShape 9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56801" y="4636788"/>
          <a:ext cx="1978502" cy="935778"/>
        </a:xfrm>
        <a:prstGeom xmlns:a="http://schemas.openxmlformats.org/drawingml/2006/main" prst="leftBrace">
          <a:avLst>
            <a:gd name="adj1" fmla="val 51422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0.22925</cdr:x>
      <cdr:y>0.79525</cdr:y>
    </cdr:from>
    <cdr:to>
      <cdr:x>0.2415</cdr:x>
      <cdr:y>0.89075</cdr:y>
    </cdr:to>
    <cdr:sp macro="" textlink="">
      <cdr:nvSpPr>
        <cdr:cNvPr id="16484" name="AutoShape 10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102337" y="4421481"/>
          <a:ext cx="112830" cy="534924"/>
        </a:xfrm>
        <a:prstGeom xmlns:a="http://schemas.openxmlformats.org/drawingml/2006/main" prst="leftBrace">
          <a:avLst>
            <a:gd name="adj1" fmla="val 39508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0.21925</cdr:x>
      <cdr:y>0.836</cdr:y>
    </cdr:from>
    <cdr:to>
      <cdr:x>0.2355</cdr:x>
      <cdr:y>1</cdr:y>
    </cdr:to>
    <cdr:sp macro="" textlink="">
      <cdr:nvSpPr>
        <cdr:cNvPr id="16485" name="AutoShape 10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019440" y="4704267"/>
          <a:ext cx="149674" cy="923579"/>
        </a:xfrm>
        <a:prstGeom xmlns:a="http://schemas.openxmlformats.org/drawingml/2006/main" prst="leftBrace">
          <a:avLst>
            <a:gd name="adj1" fmla="val 51422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0.2095</cdr:x>
      <cdr:y>0.836</cdr:y>
    </cdr:from>
    <cdr:to>
      <cdr:x>0.226</cdr:x>
      <cdr:y>1</cdr:y>
    </cdr:to>
    <cdr:sp macro="" textlink="">
      <cdr:nvSpPr>
        <cdr:cNvPr id="16486" name="AutoShape 10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922728" y="5152823"/>
          <a:ext cx="149674" cy="922186"/>
        </a:xfrm>
        <a:prstGeom xmlns:a="http://schemas.openxmlformats.org/drawingml/2006/main" prst="leftBrace">
          <a:avLst>
            <a:gd name="adj1" fmla="val 51344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0.2095</cdr:x>
      <cdr:y>0.813</cdr:y>
    </cdr:from>
    <cdr:to>
      <cdr:x>0.226</cdr:x>
      <cdr:y>0.9255</cdr:y>
    </cdr:to>
    <cdr:sp macro="" textlink="">
      <cdr:nvSpPr>
        <cdr:cNvPr id="16487" name="AutoShape 10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922728" y="4520386"/>
          <a:ext cx="149674" cy="632437"/>
        </a:xfrm>
        <a:prstGeom xmlns:a="http://schemas.openxmlformats.org/drawingml/2006/main" prst="leftBrace">
          <a:avLst>
            <a:gd name="adj1" fmla="val 35212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0.203</cdr:x>
      <cdr:y>0.83625</cdr:y>
    </cdr:from>
    <cdr:to>
      <cdr:x>0.21925</cdr:x>
      <cdr:y>1</cdr:y>
    </cdr:to>
    <cdr:sp macro="" textlink="">
      <cdr:nvSpPr>
        <cdr:cNvPr id="16488" name="AutoShape 10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862859" y="4874216"/>
          <a:ext cx="149673" cy="920794"/>
        </a:xfrm>
        <a:prstGeom xmlns:a="http://schemas.openxmlformats.org/drawingml/2006/main" prst="leftBrace">
          <a:avLst>
            <a:gd name="adj1" fmla="val 51267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0.203</cdr:x>
      <cdr:y>0.83625</cdr:y>
    </cdr:from>
    <cdr:to>
      <cdr:x>0.21925</cdr:x>
      <cdr:y>1</cdr:y>
    </cdr:to>
    <cdr:sp macro="" textlink="">
      <cdr:nvSpPr>
        <cdr:cNvPr id="16489" name="AutoShape 10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862859" y="4874216"/>
          <a:ext cx="149673" cy="920794"/>
        </a:xfrm>
        <a:prstGeom xmlns:a="http://schemas.openxmlformats.org/drawingml/2006/main" prst="leftBrace">
          <a:avLst>
            <a:gd name="adj1" fmla="val 51267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0.2915</cdr:x>
      <cdr:y>0.637</cdr:y>
    </cdr:from>
    <cdr:to>
      <cdr:x>0.3085</cdr:x>
      <cdr:y>0.7985</cdr:y>
    </cdr:to>
    <cdr:sp macro="" textlink="">
      <cdr:nvSpPr>
        <cdr:cNvPr id="16490" name="AutoShape 10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680306" y="3518797"/>
          <a:ext cx="158885" cy="915221"/>
        </a:xfrm>
        <a:prstGeom xmlns:a="http://schemas.openxmlformats.org/drawingml/2006/main" prst="leftBrace">
          <a:avLst>
            <a:gd name="adj1" fmla="val 48002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0.36478</cdr:x>
      <cdr:y>0.86314</cdr:y>
    </cdr:from>
    <cdr:to>
      <cdr:x>0.63627</cdr:x>
      <cdr:y>0.93313</cdr:y>
    </cdr:to>
    <cdr:sp macro="" textlink="">
      <cdr:nvSpPr>
        <cdr:cNvPr id="36443" name="AutoShape 107"/>
        <cdr:cNvSpPr>
          <a:spLocks xmlns:a="http://schemas.openxmlformats.org/drawingml/2006/main"/>
        </cdr:cNvSpPr>
      </cdr:nvSpPr>
      <cdr:spPr bwMode="auto">
        <a:xfrm xmlns:a="http://schemas.openxmlformats.org/drawingml/2006/main" rot="-5400000">
          <a:off x="4031496" y="3969494"/>
          <a:ext cx="398752" cy="2294860"/>
        </a:xfrm>
        <a:prstGeom xmlns:a="http://schemas.openxmlformats.org/drawingml/2006/main" prst="leftBrace">
          <a:avLst>
            <a:gd name="adj1" fmla="val 142933"/>
            <a:gd name="adj2" fmla="val 48000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0.22851</cdr:x>
      <cdr:y>0.86314</cdr:y>
    </cdr:from>
    <cdr:to>
      <cdr:x>0.35011</cdr:x>
      <cdr:y>0.92535</cdr:y>
    </cdr:to>
    <cdr:sp macro="" textlink="">
      <cdr:nvSpPr>
        <cdr:cNvPr id="16492" name="AutoShape 108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>
          <a:off x="2268275" y="4580853"/>
          <a:ext cx="354427" cy="1027816"/>
        </a:xfrm>
        <a:prstGeom xmlns:a="http://schemas.openxmlformats.org/drawingml/2006/main" prst="leftBrace">
          <a:avLst>
            <a:gd name="adj1" fmla="val 52738"/>
            <a:gd name="adj2" fmla="val 44915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0.01048</cdr:x>
      <cdr:y>0.92535</cdr:y>
    </cdr:from>
    <cdr:to>
      <cdr:x>0.95807</cdr:x>
      <cdr:y>0.97512</cdr:y>
    </cdr:to>
    <cdr:sp macro="" textlink="">
      <cdr:nvSpPr>
        <cdr:cNvPr id="36446" name="Text Box 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8604" y="5271975"/>
          <a:ext cx="8009851" cy="2835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75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    </a:t>
          </a:r>
          <a:r>
            <a:rPr lang="ru-RU" sz="975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                                             </a:t>
          </a:r>
          <a:r>
            <a:rPr lang="en-US" sz="975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I </a:t>
          </a:r>
          <a:r>
            <a:rPr lang="ru-RU" sz="975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степень качества                   </a:t>
          </a:r>
          <a:r>
            <a:rPr lang="en-US" sz="975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II </a:t>
          </a:r>
          <a:r>
            <a:rPr lang="ru-RU" sz="975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степень качества                       </a:t>
          </a:r>
          <a:r>
            <a:rPr lang="en-US" sz="975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III </a:t>
          </a:r>
          <a:r>
            <a:rPr lang="ru-RU" sz="975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степень качества</a:t>
          </a:r>
        </a:p>
      </cdr:txBody>
    </cdr:sp>
  </cdr:relSizeAnchor>
  <cdr:relSizeAnchor xmlns:cdr="http://schemas.openxmlformats.org/drawingml/2006/chartDrawing">
    <cdr:from>
      <cdr:x>0.05534</cdr:x>
      <cdr:y>0.91441</cdr:y>
    </cdr:from>
    <cdr:to>
      <cdr:x>0.22334</cdr:x>
      <cdr:y>0.95566</cdr:y>
    </cdr:to>
    <cdr:sp macro="" textlink="">
      <cdr:nvSpPr>
        <cdr:cNvPr id="16495" name="Text Box 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126" y="4389736"/>
          <a:ext cx="1387694" cy="198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ru-RU"/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4"/>
  </sheetPr>
  <dimension ref="A2:J30"/>
  <sheetViews>
    <sheetView zoomScale="134" zoomScaleNormal="134" workbookViewId="0">
      <selection activeCell="J10" sqref="J10"/>
    </sheetView>
  </sheetViews>
  <sheetFormatPr defaultRowHeight="13.2"/>
  <cols>
    <col min="1" max="1" width="35.88671875" style="11" customWidth="1"/>
    <col min="2" max="2" width="13.77734375" style="11" customWidth="1"/>
    <col min="3" max="3" width="14.109375" style="11" customWidth="1"/>
    <col min="4" max="4" width="11.6640625" style="11" customWidth="1"/>
    <col min="5" max="5" width="10" style="11" customWidth="1"/>
    <col min="6" max="6" width="11.44140625" style="11" customWidth="1"/>
    <col min="7" max="7" width="13.44140625" style="11" customWidth="1"/>
    <col min="8" max="8" width="10.88671875" style="11" customWidth="1"/>
  </cols>
  <sheetData>
    <row r="2" spans="1:10" ht="28.2" customHeight="1">
      <c r="A2" s="127" t="s">
        <v>142</v>
      </c>
      <c r="B2" s="127"/>
      <c r="C2" s="127"/>
      <c r="D2" s="127"/>
      <c r="E2" s="127"/>
      <c r="F2" s="127"/>
      <c r="G2" s="127"/>
      <c r="H2" s="123"/>
      <c r="I2" s="43"/>
      <c r="J2" s="43"/>
    </row>
    <row r="3" spans="1:10">
      <c r="A3" s="11" t="s">
        <v>141</v>
      </c>
    </row>
    <row r="5" spans="1:10" ht="105" customHeight="1">
      <c r="A5" s="57" t="s">
        <v>0</v>
      </c>
      <c r="B5" s="44" t="s">
        <v>21</v>
      </c>
      <c r="C5" s="44" t="s">
        <v>20</v>
      </c>
      <c r="D5" s="81" t="s">
        <v>28</v>
      </c>
      <c r="E5" s="44" t="s">
        <v>150</v>
      </c>
      <c r="F5" s="44" t="s">
        <v>151</v>
      </c>
      <c r="G5" s="44" t="s">
        <v>152</v>
      </c>
      <c r="H5" s="44" t="s">
        <v>75</v>
      </c>
    </row>
    <row r="6" spans="1:10" s="18" customFormat="1" ht="11.4">
      <c r="A6" s="124">
        <v>1</v>
      </c>
      <c r="B6" s="124">
        <v>2</v>
      </c>
      <c r="C6" s="124">
        <v>3</v>
      </c>
      <c r="D6" s="124" t="s">
        <v>27</v>
      </c>
      <c r="E6" s="124">
        <v>5</v>
      </c>
      <c r="F6" s="124">
        <v>6</v>
      </c>
      <c r="G6" s="124" t="s">
        <v>26</v>
      </c>
      <c r="H6" s="124">
        <v>8</v>
      </c>
    </row>
    <row r="7" spans="1:10" s="4" customFormat="1" ht="31.2" customHeight="1">
      <c r="A7" s="10" t="s">
        <v>16</v>
      </c>
      <c r="B7" s="83">
        <v>111919574.76000001</v>
      </c>
      <c r="C7" s="83">
        <v>114105578.54000001</v>
      </c>
      <c r="D7" s="79">
        <f>B7/C7</f>
        <v>0.98084227074635366</v>
      </c>
      <c r="E7" s="79">
        <f>D7-D21</f>
        <v>0.44839227074635368</v>
      </c>
      <c r="F7" s="79">
        <f>D22-D21</f>
        <v>0.44839000000000007</v>
      </c>
      <c r="G7" s="79">
        <f>E7/F7</f>
        <v>1.0000050642216678</v>
      </c>
      <c r="H7" s="79">
        <f>G7*2</f>
        <v>2.0000101284433356</v>
      </c>
    </row>
    <row r="8" spans="1:10" s="4" customFormat="1" ht="27.6" customHeight="1">
      <c r="A8" s="10" t="s">
        <v>17</v>
      </c>
      <c r="B8" s="83">
        <v>6405449.7699999996</v>
      </c>
      <c r="C8" s="83">
        <v>12030214.15</v>
      </c>
      <c r="D8" s="79">
        <f>B8/C8</f>
        <v>0.53244686172107747</v>
      </c>
      <c r="E8" s="79">
        <f>D8-D21</f>
        <v>-3.1382789225098406E-6</v>
      </c>
      <c r="F8" s="79">
        <f>D22-D21</f>
        <v>0.44839000000000007</v>
      </c>
      <c r="G8" s="79">
        <f>E8/F8</f>
        <v>-6.9989940063557173E-6</v>
      </c>
      <c r="H8" s="96">
        <f>G8*2</f>
        <v>-1.3997988012711435E-5</v>
      </c>
    </row>
    <row r="9" spans="1:10" s="4" customFormat="1" ht="30.6" customHeight="1">
      <c r="A9" s="10" t="s">
        <v>18</v>
      </c>
      <c r="B9" s="83">
        <v>14516820.109999999</v>
      </c>
      <c r="C9" s="83">
        <v>21398816.140000001</v>
      </c>
      <c r="D9" s="79">
        <f t="shared" ref="D9:D10" si="0">B9/C9</f>
        <v>0.67839360902140067</v>
      </c>
      <c r="E9" s="79">
        <f>D9-D21</f>
        <v>0.14594360902140069</v>
      </c>
      <c r="F9" s="79">
        <f>D22-D21</f>
        <v>0.44839000000000007</v>
      </c>
      <c r="G9" s="79">
        <f>E9/F9</f>
        <v>0.3254836392903514</v>
      </c>
      <c r="H9" s="79">
        <f>G9*2</f>
        <v>0.6509672785807028</v>
      </c>
    </row>
    <row r="10" spans="1:10" s="4" customFormat="1" ht="31.95" customHeight="1">
      <c r="A10" s="10" t="s">
        <v>19</v>
      </c>
      <c r="B10" s="83">
        <v>6829397.6799999997</v>
      </c>
      <c r="C10" s="83">
        <v>11316391.07</v>
      </c>
      <c r="D10" s="79">
        <f t="shared" si="0"/>
        <v>0.6034960826075445</v>
      </c>
      <c r="E10" s="79">
        <f>D10-D21</f>
        <v>7.1046082607544525E-2</v>
      </c>
      <c r="F10" s="79">
        <f>D22-D21</f>
        <v>0.44839000000000007</v>
      </c>
      <c r="G10" s="79">
        <f>E10/F10</f>
        <v>0.15844707198542454</v>
      </c>
      <c r="H10" s="79">
        <f>G10*2</f>
        <v>0.31689414397084908</v>
      </c>
    </row>
    <row r="11" spans="1:10" s="4" customFormat="1" ht="29.4" hidden="1" customHeight="1">
      <c r="A11" s="10"/>
      <c r="B11" s="83"/>
      <c r="C11" s="83"/>
      <c r="D11" s="79"/>
      <c r="E11" s="15"/>
      <c r="F11" s="15"/>
      <c r="G11" s="15"/>
      <c r="H11" s="15"/>
    </row>
    <row r="12" spans="1:10" s="4" customFormat="1" ht="31.2" hidden="1" customHeight="1">
      <c r="A12" s="10"/>
      <c r="B12" s="83"/>
      <c r="C12" s="83"/>
      <c r="D12" s="79"/>
      <c r="E12" s="15"/>
      <c r="F12" s="15"/>
      <c r="G12" s="15"/>
      <c r="H12" s="15"/>
    </row>
    <row r="13" spans="1:10" s="4" customFormat="1" ht="31.95" hidden="1" customHeight="1">
      <c r="A13" s="10"/>
      <c r="B13" s="83"/>
      <c r="C13" s="83"/>
      <c r="D13" s="79"/>
      <c r="E13" s="15"/>
      <c r="F13" s="15"/>
      <c r="G13" s="15"/>
      <c r="H13" s="15"/>
    </row>
    <row r="14" spans="1:10" s="4" customFormat="1" ht="31.95" hidden="1" customHeight="1">
      <c r="A14" s="10"/>
      <c r="B14" s="83"/>
      <c r="C14" s="83"/>
      <c r="D14" s="79"/>
      <c r="E14" s="15"/>
      <c r="F14" s="15"/>
      <c r="G14" s="15"/>
      <c r="H14" s="15"/>
    </row>
    <row r="15" spans="1:10" s="4" customFormat="1" ht="31.95" hidden="1" customHeight="1">
      <c r="A15" s="10"/>
      <c r="B15" s="83"/>
      <c r="C15" s="83"/>
      <c r="D15" s="79"/>
      <c r="E15" s="15"/>
      <c r="F15" s="15"/>
      <c r="G15" s="15"/>
      <c r="H15" s="15"/>
    </row>
    <row r="16" spans="1:10" s="4" customFormat="1">
      <c r="A16" s="125" t="s">
        <v>4</v>
      </c>
      <c r="B16" s="50">
        <f>SUM(B7:B10)</f>
        <v>139671242.31999999</v>
      </c>
      <c r="C16" s="50">
        <f>SUM(C7:C15)</f>
        <v>158850999.90000001</v>
      </c>
      <c r="D16" s="15">
        <f>(D7+D8+D9+D10)/4</f>
        <v>0.6987947060240941</v>
      </c>
      <c r="E16" s="15">
        <f>D16-D21</f>
        <v>0.16634470602409412</v>
      </c>
      <c r="F16" s="15">
        <f>D22-D21</f>
        <v>0.44839000000000007</v>
      </c>
      <c r="G16" s="15">
        <f>(G7+G8+G9+G10)/4</f>
        <v>0.37098219412585931</v>
      </c>
      <c r="H16" s="15">
        <f>G16*2</f>
        <v>0.74196438825171862</v>
      </c>
    </row>
    <row r="17" spans="1:8">
      <c r="A17" s="11" t="s">
        <v>25</v>
      </c>
      <c r="B17" s="37">
        <v>139671242.31999999</v>
      </c>
      <c r="C17" s="37">
        <v>158850999.90000001</v>
      </c>
      <c r="D17" s="126"/>
      <c r="E17" s="15"/>
      <c r="F17" s="15"/>
      <c r="G17" s="15"/>
      <c r="H17" s="15"/>
    </row>
    <row r="18" spans="1:8">
      <c r="B18" s="37">
        <f>B17-B16</f>
        <v>0</v>
      </c>
      <c r="C18" s="37">
        <f>C17-C16</f>
        <v>0</v>
      </c>
      <c r="D18" s="15"/>
      <c r="E18" s="15"/>
      <c r="F18" s="15"/>
      <c r="G18" s="15"/>
      <c r="H18" s="15"/>
    </row>
    <row r="19" spans="1:8">
      <c r="B19" s="50"/>
      <c r="C19" s="50"/>
      <c r="D19" s="15"/>
      <c r="E19" s="15"/>
      <c r="F19" s="15"/>
      <c r="G19" s="15"/>
      <c r="H19" s="15"/>
    </row>
    <row r="20" spans="1:8">
      <c r="A20" s="11" t="s">
        <v>22</v>
      </c>
      <c r="B20" s="50"/>
      <c r="C20" s="50"/>
      <c r="D20" s="15">
        <f>D16</f>
        <v>0.6987947060240941</v>
      </c>
      <c r="E20" s="15"/>
      <c r="F20" s="15"/>
      <c r="G20" s="15"/>
      <c r="H20" s="15"/>
    </row>
    <row r="21" spans="1:8">
      <c r="A21" s="11" t="s">
        <v>23</v>
      </c>
      <c r="B21" s="50"/>
      <c r="C21" s="50"/>
      <c r="D21" s="15">
        <v>0.53244999999999998</v>
      </c>
      <c r="E21" s="15"/>
      <c r="F21" s="15"/>
      <c r="G21" s="15"/>
      <c r="H21" s="15"/>
    </row>
    <row r="22" spans="1:8">
      <c r="A22" s="11" t="s">
        <v>24</v>
      </c>
      <c r="B22" s="50"/>
      <c r="C22" s="50"/>
      <c r="D22" s="15">
        <v>0.98084000000000005</v>
      </c>
      <c r="E22" s="15"/>
      <c r="F22" s="15"/>
      <c r="G22" s="15"/>
      <c r="H22" s="15"/>
    </row>
    <row r="23" spans="1:8">
      <c r="A23" s="112" t="s">
        <v>36</v>
      </c>
      <c r="B23" s="113"/>
      <c r="C23" s="113"/>
      <c r="D23" s="114"/>
      <c r="E23" s="50"/>
    </row>
    <row r="24" spans="1:8">
      <c r="A24" s="112" t="s">
        <v>37</v>
      </c>
      <c r="B24" s="113"/>
      <c r="C24" s="113"/>
      <c r="D24" s="115">
        <f>D20*5</f>
        <v>3.4939735301204706</v>
      </c>
      <c r="E24" s="50"/>
    </row>
    <row r="25" spans="1:8">
      <c r="A25" s="112" t="s">
        <v>38</v>
      </c>
      <c r="B25" s="113"/>
      <c r="C25" s="113"/>
      <c r="D25" s="115">
        <f>D20/5</f>
        <v>0.13975894120481883</v>
      </c>
      <c r="E25" s="50"/>
    </row>
    <row r="26" spans="1:8">
      <c r="B26" s="50"/>
      <c r="C26" s="50"/>
      <c r="D26" s="67"/>
      <c r="E26" s="50"/>
    </row>
    <row r="27" spans="1:8">
      <c r="B27" s="50"/>
      <c r="C27" s="50"/>
      <c r="D27" s="67"/>
      <c r="E27" s="50"/>
    </row>
    <row r="28" spans="1:8">
      <c r="D28" s="67"/>
    </row>
    <row r="29" spans="1:8">
      <c r="D29" s="67"/>
    </row>
    <row r="30" spans="1:8">
      <c r="D30" s="67"/>
    </row>
  </sheetData>
  <mergeCells count="1">
    <mergeCell ref="A2:G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indexed="34"/>
  </sheetPr>
  <dimension ref="A2:C10"/>
  <sheetViews>
    <sheetView zoomScale="129" zoomScaleNormal="129" workbookViewId="0">
      <selection activeCell="B18" sqref="B18"/>
    </sheetView>
  </sheetViews>
  <sheetFormatPr defaultRowHeight="13.2"/>
  <cols>
    <col min="1" max="1" width="38.44140625" style="11" customWidth="1"/>
    <col min="2" max="2" width="15.33203125" style="11" customWidth="1"/>
    <col min="3" max="3" width="14.6640625" style="11" customWidth="1"/>
    <col min="4" max="4" width="12.6640625" customWidth="1"/>
  </cols>
  <sheetData>
    <row r="2" spans="1:3">
      <c r="A2" s="11" t="s">
        <v>56</v>
      </c>
    </row>
    <row r="4" spans="1:3" ht="73.8" customHeight="1">
      <c r="A4" s="57" t="s">
        <v>0</v>
      </c>
      <c r="B4" s="44" t="s">
        <v>82</v>
      </c>
      <c r="C4" s="44" t="s">
        <v>83</v>
      </c>
    </row>
    <row r="5" spans="1:3">
      <c r="A5" s="51">
        <v>1</v>
      </c>
      <c r="B5" s="51">
        <v>2</v>
      </c>
      <c r="C5" s="51">
        <v>3</v>
      </c>
    </row>
    <row r="6" spans="1:3" ht="31.2" customHeight="1">
      <c r="A6" s="10" t="s">
        <v>16</v>
      </c>
      <c r="B6" s="110">
        <f>'3.1'!I6</f>
        <v>2.4960980097138511E-4</v>
      </c>
      <c r="C6" s="79">
        <f>2*B6</f>
        <v>4.9921960194277022E-4</v>
      </c>
    </row>
    <row r="7" spans="1:3" ht="27.6" customHeight="1">
      <c r="A7" s="10" t="s">
        <v>17</v>
      </c>
      <c r="B7" s="110">
        <f>'3.1'!I7</f>
        <v>0.18245077465577317</v>
      </c>
      <c r="C7" s="79">
        <f t="shared" ref="C7:C9" si="0">2*B7</f>
        <v>0.36490154931154634</v>
      </c>
    </row>
    <row r="8" spans="1:3" ht="30.6" customHeight="1">
      <c r="A8" s="10" t="s">
        <v>18</v>
      </c>
      <c r="B8" s="110">
        <f>'3.1'!I8</f>
        <v>1.6863783180803895</v>
      </c>
      <c r="C8" s="79">
        <f t="shared" si="0"/>
        <v>3.372756636160779</v>
      </c>
    </row>
    <row r="9" spans="1:3" ht="31.95" customHeight="1">
      <c r="A9" s="10" t="s">
        <v>19</v>
      </c>
      <c r="B9" s="110">
        <f>'3.1'!I9</f>
        <v>1.6863783180803895</v>
      </c>
      <c r="C9" s="79">
        <f t="shared" si="0"/>
        <v>3.372756636160779</v>
      </c>
    </row>
    <row r="10" spans="1:3">
      <c r="A10" s="11" t="s">
        <v>4</v>
      </c>
      <c r="B10" s="15">
        <f>'3.1'!I10</f>
        <v>0.4318915904019483</v>
      </c>
      <c r="C10" s="15">
        <f>2*B10</f>
        <v>0.8637831808038966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FF"/>
  </sheetPr>
  <dimension ref="A2:E11"/>
  <sheetViews>
    <sheetView zoomScale="119" zoomScaleNormal="119" workbookViewId="0">
      <selection activeCell="F6" sqref="F6"/>
    </sheetView>
  </sheetViews>
  <sheetFormatPr defaultRowHeight="13.2"/>
  <cols>
    <col min="1" max="1" width="36.5546875" style="11" customWidth="1"/>
    <col min="2" max="3" width="17.44140625" style="11" customWidth="1"/>
    <col min="4" max="4" width="13.44140625" style="11" customWidth="1"/>
    <col min="5" max="5" width="8.88671875" style="11"/>
  </cols>
  <sheetData>
    <row r="2" spans="1:4">
      <c r="A2" s="11" t="s">
        <v>158</v>
      </c>
    </row>
    <row r="3" spans="1:4">
      <c r="A3" s="11" t="s">
        <v>159</v>
      </c>
    </row>
    <row r="5" spans="1:4" ht="92.4">
      <c r="A5" s="57" t="s">
        <v>0</v>
      </c>
      <c r="B5" s="44" t="s">
        <v>57</v>
      </c>
      <c r="C5" s="44" t="s">
        <v>59</v>
      </c>
      <c r="D5" s="44" t="s">
        <v>77</v>
      </c>
    </row>
    <row r="6" spans="1:4">
      <c r="A6" s="51">
        <v>1</v>
      </c>
      <c r="B6" s="51">
        <v>2</v>
      </c>
      <c r="C6" s="51">
        <v>3</v>
      </c>
      <c r="D6" s="51">
        <v>4</v>
      </c>
    </row>
    <row r="7" spans="1:4" ht="26.4" customHeight="1">
      <c r="A7" s="10" t="s">
        <v>16</v>
      </c>
      <c r="B7" s="108" t="s">
        <v>58</v>
      </c>
      <c r="C7" s="61">
        <v>1</v>
      </c>
      <c r="D7" s="101">
        <f>C7*2</f>
        <v>2</v>
      </c>
    </row>
    <row r="8" spans="1:4" ht="26.4" customHeight="1">
      <c r="A8" s="10" t="s">
        <v>17</v>
      </c>
      <c r="B8" s="108" t="s">
        <v>58</v>
      </c>
      <c r="C8" s="61">
        <v>1</v>
      </c>
      <c r="D8" s="101">
        <f>C8*2</f>
        <v>2</v>
      </c>
    </row>
    <row r="9" spans="1:4" ht="26.4" customHeight="1">
      <c r="A9" s="10" t="s">
        <v>18</v>
      </c>
      <c r="B9" s="108" t="s">
        <v>58</v>
      </c>
      <c r="C9" s="61">
        <v>1</v>
      </c>
      <c r="D9" s="101">
        <f>C9*2</f>
        <v>2</v>
      </c>
    </row>
    <row r="10" spans="1:4" ht="26.4" customHeight="1">
      <c r="A10" s="10" t="s">
        <v>19</v>
      </c>
      <c r="B10" s="108" t="s">
        <v>58</v>
      </c>
      <c r="C10" s="61">
        <v>1</v>
      </c>
      <c r="D10" s="101">
        <f>C10*2</f>
        <v>2</v>
      </c>
    </row>
    <row r="11" spans="1:4">
      <c r="A11" s="98"/>
      <c r="B11" s="109"/>
      <c r="C11" s="98">
        <v>1</v>
      </c>
      <c r="D11" s="98">
        <f>C11*2</f>
        <v>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FF"/>
  </sheetPr>
  <dimension ref="A2:E11"/>
  <sheetViews>
    <sheetView zoomScale="144" zoomScaleNormal="144" workbookViewId="0">
      <selection activeCell="B14" sqref="B14"/>
    </sheetView>
  </sheetViews>
  <sheetFormatPr defaultRowHeight="13.2"/>
  <cols>
    <col min="1" max="1" width="36.5546875" style="11" customWidth="1"/>
    <col min="2" max="3" width="17.44140625" style="11" customWidth="1"/>
    <col min="4" max="4" width="13.44140625" style="11" customWidth="1"/>
    <col min="5" max="5" width="8.88671875" style="17"/>
  </cols>
  <sheetData>
    <row r="2" spans="1:4">
      <c r="A2" s="11" t="s">
        <v>61</v>
      </c>
    </row>
    <row r="3" spans="1:4">
      <c r="A3" s="11" t="s">
        <v>60</v>
      </c>
    </row>
    <row r="5" spans="1:4" ht="92.4">
      <c r="A5" s="57" t="s">
        <v>0</v>
      </c>
      <c r="B5" s="44" t="s">
        <v>62</v>
      </c>
      <c r="C5" s="44" t="s">
        <v>63</v>
      </c>
      <c r="D5" s="44" t="s">
        <v>77</v>
      </c>
    </row>
    <row r="6" spans="1:4">
      <c r="A6" s="51">
        <v>1</v>
      </c>
      <c r="B6" s="51">
        <v>2</v>
      </c>
      <c r="C6" s="51">
        <v>3</v>
      </c>
      <c r="D6" s="51">
        <v>4</v>
      </c>
    </row>
    <row r="7" spans="1:4">
      <c r="A7" s="10" t="s">
        <v>16</v>
      </c>
      <c r="B7" s="108" t="s">
        <v>64</v>
      </c>
      <c r="C7" s="61">
        <v>1</v>
      </c>
      <c r="D7" s="101">
        <f>C7*2</f>
        <v>2</v>
      </c>
    </row>
    <row r="8" spans="1:4" ht="13.8" customHeight="1">
      <c r="A8" s="10" t="s">
        <v>17</v>
      </c>
      <c r="B8" s="108" t="s">
        <v>64</v>
      </c>
      <c r="C8" s="61">
        <v>1</v>
      </c>
      <c r="D8" s="101">
        <f>C8*2</f>
        <v>2</v>
      </c>
    </row>
    <row r="9" spans="1:4">
      <c r="A9" s="10" t="s">
        <v>18</v>
      </c>
      <c r="B9" s="108" t="s">
        <v>64</v>
      </c>
      <c r="C9" s="61">
        <v>1</v>
      </c>
      <c r="D9" s="101">
        <f>C9*2</f>
        <v>2</v>
      </c>
    </row>
    <row r="10" spans="1:4">
      <c r="A10" s="10" t="s">
        <v>19</v>
      </c>
      <c r="B10" s="108" t="s">
        <v>64</v>
      </c>
      <c r="C10" s="61">
        <v>1</v>
      </c>
      <c r="D10" s="101">
        <f>C10*2</f>
        <v>2</v>
      </c>
    </row>
    <row r="11" spans="1:4">
      <c r="A11" s="98"/>
      <c r="B11" s="109"/>
      <c r="C11" s="98">
        <v>1</v>
      </c>
      <c r="D11" s="98">
        <f>C11*2</f>
        <v>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FF"/>
  </sheetPr>
  <dimension ref="A2:E11"/>
  <sheetViews>
    <sheetView zoomScale="149" zoomScaleNormal="149" workbookViewId="0">
      <selection activeCell="E10" sqref="E10"/>
    </sheetView>
  </sheetViews>
  <sheetFormatPr defaultRowHeight="13.2"/>
  <cols>
    <col min="1" max="1" width="37.109375" style="11" customWidth="1"/>
    <col min="2" max="3" width="17.44140625" style="11" customWidth="1"/>
    <col min="4" max="4" width="13.44140625" style="11" customWidth="1"/>
    <col min="5" max="5" width="8.88671875" style="17"/>
  </cols>
  <sheetData>
    <row r="2" spans="1:4">
      <c r="A2" s="11" t="s">
        <v>65</v>
      </c>
    </row>
    <row r="3" spans="1:4">
      <c r="A3" s="11" t="s">
        <v>66</v>
      </c>
    </row>
    <row r="5" spans="1:4" ht="92.4">
      <c r="A5" s="57" t="s">
        <v>0</v>
      </c>
      <c r="B5" s="44" t="s">
        <v>57</v>
      </c>
      <c r="C5" s="44" t="s">
        <v>59</v>
      </c>
      <c r="D5" s="44" t="s">
        <v>78</v>
      </c>
    </row>
    <row r="6" spans="1:4">
      <c r="A6" s="51">
        <v>1</v>
      </c>
      <c r="B6" s="51">
        <v>2</v>
      </c>
      <c r="C6" s="51">
        <v>3</v>
      </c>
      <c r="D6" s="51">
        <v>4</v>
      </c>
    </row>
    <row r="7" spans="1:4">
      <c r="A7" s="10" t="s">
        <v>16</v>
      </c>
      <c r="B7" s="108" t="s">
        <v>58</v>
      </c>
      <c r="C7" s="61">
        <v>1</v>
      </c>
      <c r="D7" s="101">
        <f>C7*2</f>
        <v>2</v>
      </c>
    </row>
    <row r="8" spans="1:4" ht="13.8" customHeight="1">
      <c r="A8" s="10" t="s">
        <v>17</v>
      </c>
      <c r="B8" s="108" t="s">
        <v>58</v>
      </c>
      <c r="C8" s="61">
        <v>1</v>
      </c>
      <c r="D8" s="101">
        <f>C8*2</f>
        <v>2</v>
      </c>
    </row>
    <row r="9" spans="1:4">
      <c r="A9" s="10" t="s">
        <v>18</v>
      </c>
      <c r="B9" s="108" t="s">
        <v>58</v>
      </c>
      <c r="C9" s="61">
        <v>1</v>
      </c>
      <c r="D9" s="101">
        <f>C9*2</f>
        <v>2</v>
      </c>
    </row>
    <row r="10" spans="1:4">
      <c r="A10" s="10" t="s">
        <v>19</v>
      </c>
      <c r="B10" s="108" t="s">
        <v>58</v>
      </c>
      <c r="C10" s="61">
        <v>1</v>
      </c>
      <c r="D10" s="101">
        <f>C10*2</f>
        <v>2</v>
      </c>
    </row>
    <row r="11" spans="1:4">
      <c r="A11" s="98"/>
      <c r="B11" s="109"/>
      <c r="C11" s="98">
        <v>1</v>
      </c>
      <c r="D11" s="98">
        <f>C11*2</f>
        <v>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FF"/>
  </sheetPr>
  <dimension ref="A2:E11"/>
  <sheetViews>
    <sheetView zoomScale="124" zoomScaleNormal="124" workbookViewId="0">
      <selection activeCell="H8" sqref="H8"/>
    </sheetView>
  </sheetViews>
  <sheetFormatPr defaultRowHeight="13.2"/>
  <cols>
    <col min="1" max="1" width="36.5546875" style="11" customWidth="1"/>
    <col min="2" max="2" width="19.5546875" style="11" customWidth="1"/>
    <col min="3" max="3" width="17.44140625" style="11" customWidth="1"/>
    <col min="4" max="4" width="13.44140625" style="11" customWidth="1"/>
    <col min="5" max="5" width="8.88671875" style="11"/>
  </cols>
  <sheetData>
    <row r="2" spans="1:4">
      <c r="A2" s="11" t="s">
        <v>160</v>
      </c>
    </row>
    <row r="3" spans="1:4">
      <c r="A3" s="11" t="s">
        <v>161</v>
      </c>
    </row>
    <row r="5" spans="1:4" ht="92.4">
      <c r="A5" s="57" t="s">
        <v>0</v>
      </c>
      <c r="B5" s="44" t="s">
        <v>57</v>
      </c>
      <c r="C5" s="44" t="s">
        <v>59</v>
      </c>
      <c r="D5" s="44" t="s">
        <v>77</v>
      </c>
    </row>
    <row r="6" spans="1:4">
      <c r="A6" s="51">
        <v>1</v>
      </c>
      <c r="B6" s="51">
        <v>2</v>
      </c>
      <c r="C6" s="51">
        <v>3</v>
      </c>
      <c r="D6" s="51">
        <v>4</v>
      </c>
    </row>
    <row r="7" spans="1:4" ht="19.8" customHeight="1">
      <c r="A7" s="10" t="s">
        <v>16</v>
      </c>
      <c r="B7" s="108" t="s">
        <v>58</v>
      </c>
      <c r="C7" s="61">
        <v>1</v>
      </c>
      <c r="D7" s="101">
        <f>C7*2</f>
        <v>2</v>
      </c>
    </row>
    <row r="8" spans="1:4" ht="19.8" customHeight="1">
      <c r="A8" s="10" t="s">
        <v>17</v>
      </c>
      <c r="B8" s="108" t="s">
        <v>153</v>
      </c>
      <c r="C8" s="61">
        <v>0</v>
      </c>
      <c r="D8" s="101">
        <f>C8*2</f>
        <v>0</v>
      </c>
    </row>
    <row r="9" spans="1:4" ht="19.8" customHeight="1">
      <c r="A9" s="10" t="s">
        <v>18</v>
      </c>
      <c r="B9" s="108" t="s">
        <v>153</v>
      </c>
      <c r="C9" s="61">
        <v>0</v>
      </c>
      <c r="D9" s="101">
        <f>C9*2</f>
        <v>0</v>
      </c>
    </row>
    <row r="10" spans="1:4" ht="19.8" customHeight="1">
      <c r="A10" s="10" t="s">
        <v>19</v>
      </c>
      <c r="B10" s="108" t="s">
        <v>58</v>
      </c>
      <c r="C10" s="61">
        <v>1</v>
      </c>
      <c r="D10" s="101">
        <f>C10*2</f>
        <v>2</v>
      </c>
    </row>
    <row r="11" spans="1:4">
      <c r="A11" s="98"/>
      <c r="B11" s="109"/>
      <c r="C11" s="98">
        <v>1</v>
      </c>
      <c r="D11" s="98">
        <f>C11*2</f>
        <v>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FF"/>
  </sheetPr>
  <dimension ref="A2:E11"/>
  <sheetViews>
    <sheetView zoomScale="154" zoomScaleNormal="154" workbookViewId="0">
      <selection activeCell="E5" sqref="E5"/>
    </sheetView>
  </sheetViews>
  <sheetFormatPr defaultRowHeight="13.2"/>
  <cols>
    <col min="1" max="1" width="36.5546875" style="11" customWidth="1"/>
    <col min="2" max="2" width="19.5546875" style="11" customWidth="1"/>
    <col min="3" max="3" width="17.44140625" style="11" customWidth="1"/>
    <col min="4" max="4" width="15" style="11" customWidth="1"/>
    <col min="5" max="5" width="8.88671875" style="11"/>
  </cols>
  <sheetData>
    <row r="2" spans="1:4">
      <c r="A2" s="11" t="s">
        <v>162</v>
      </c>
    </row>
    <row r="3" spans="1:4">
      <c r="A3" s="11" t="s">
        <v>163</v>
      </c>
    </row>
    <row r="5" spans="1:4" ht="79.2">
      <c r="A5" s="57" t="s">
        <v>0</v>
      </c>
      <c r="B5" s="44" t="s">
        <v>57</v>
      </c>
      <c r="C5" s="44" t="s">
        <v>59</v>
      </c>
      <c r="D5" s="44" t="s">
        <v>77</v>
      </c>
    </row>
    <row r="6" spans="1:4">
      <c r="A6" s="51">
        <v>1</v>
      </c>
      <c r="B6" s="51">
        <v>2</v>
      </c>
      <c r="C6" s="51">
        <v>3</v>
      </c>
      <c r="D6" s="51">
        <v>4</v>
      </c>
    </row>
    <row r="7" spans="1:4" ht="22.2" customHeight="1">
      <c r="A7" s="10" t="s">
        <v>16</v>
      </c>
      <c r="B7" s="108" t="s">
        <v>58</v>
      </c>
      <c r="C7" s="61">
        <v>1</v>
      </c>
      <c r="D7" s="101">
        <f>C7*2</f>
        <v>2</v>
      </c>
    </row>
    <row r="8" spans="1:4" ht="22.2" customHeight="1">
      <c r="A8" s="10" t="s">
        <v>17</v>
      </c>
      <c r="B8" s="108" t="s">
        <v>153</v>
      </c>
      <c r="C8" s="61">
        <v>0</v>
      </c>
      <c r="D8" s="101">
        <f>C8*2</f>
        <v>0</v>
      </c>
    </row>
    <row r="9" spans="1:4" ht="22.2" customHeight="1">
      <c r="A9" s="10" t="s">
        <v>18</v>
      </c>
      <c r="B9" s="108" t="s">
        <v>153</v>
      </c>
      <c r="C9" s="61">
        <v>0</v>
      </c>
      <c r="D9" s="101">
        <f>C9*2</f>
        <v>0</v>
      </c>
    </row>
    <row r="10" spans="1:4" ht="22.2" customHeight="1">
      <c r="A10" s="10" t="s">
        <v>19</v>
      </c>
      <c r="B10" s="108" t="s">
        <v>58</v>
      </c>
      <c r="C10" s="61">
        <v>1</v>
      </c>
      <c r="D10" s="101">
        <f>C10*2</f>
        <v>2</v>
      </c>
    </row>
    <row r="11" spans="1:4">
      <c r="A11" s="98"/>
      <c r="B11" s="109"/>
      <c r="C11" s="98">
        <v>1</v>
      </c>
      <c r="D11" s="98">
        <f>C11*2</f>
        <v>2</v>
      </c>
    </row>
  </sheetData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00FF"/>
  </sheetPr>
  <dimension ref="A2:D15"/>
  <sheetViews>
    <sheetView zoomScale="129" zoomScaleNormal="129" workbookViewId="0">
      <selection activeCell="H15" sqref="H15"/>
    </sheetView>
  </sheetViews>
  <sheetFormatPr defaultRowHeight="13.2"/>
  <cols>
    <col min="1" max="1" width="38.6640625" style="11" customWidth="1"/>
    <col min="2" max="2" width="22.5546875" style="11" customWidth="1"/>
    <col min="3" max="3" width="16.109375" style="11" customWidth="1"/>
    <col min="4" max="4" width="14" style="11" customWidth="1"/>
  </cols>
  <sheetData>
    <row r="2" spans="1:4">
      <c r="A2" s="11" t="s">
        <v>155</v>
      </c>
    </row>
    <row r="4" spans="1:4" ht="91.8" customHeight="1">
      <c r="A4" s="57" t="s">
        <v>0</v>
      </c>
      <c r="B4" s="44" t="s">
        <v>7</v>
      </c>
      <c r="C4" s="81" t="s">
        <v>35</v>
      </c>
      <c r="D4" s="81" t="s">
        <v>79</v>
      </c>
    </row>
    <row r="5" spans="1:4">
      <c r="A5" s="51">
        <v>1</v>
      </c>
      <c r="B5" s="51">
        <v>2</v>
      </c>
      <c r="C5" s="51" t="s">
        <v>67</v>
      </c>
      <c r="D5" s="51">
        <v>4</v>
      </c>
    </row>
    <row r="6" spans="1:4" ht="31.2" customHeight="1">
      <c r="A6" s="10" t="s">
        <v>16</v>
      </c>
      <c r="B6" s="61">
        <v>0</v>
      </c>
      <c r="C6" s="100">
        <f>1-B6</f>
        <v>1</v>
      </c>
      <c r="D6" s="100">
        <f>C6*1</f>
        <v>1</v>
      </c>
    </row>
    <row r="7" spans="1:4" ht="27.6" customHeight="1">
      <c r="A7" s="10" t="s">
        <v>17</v>
      </c>
      <c r="B7" s="61">
        <v>0</v>
      </c>
      <c r="C7" s="100">
        <f>1-B7</f>
        <v>1</v>
      </c>
      <c r="D7" s="100">
        <f>C7*1</f>
        <v>1</v>
      </c>
    </row>
    <row r="8" spans="1:4" ht="30.6" customHeight="1">
      <c r="A8" s="10" t="s">
        <v>18</v>
      </c>
      <c r="B8" s="61">
        <v>0</v>
      </c>
      <c r="C8" s="100">
        <f>1-B8</f>
        <v>1</v>
      </c>
      <c r="D8" s="100">
        <f>C8*1</f>
        <v>1</v>
      </c>
    </row>
    <row r="9" spans="1:4" ht="31.95" customHeight="1">
      <c r="A9" s="10" t="s">
        <v>19</v>
      </c>
      <c r="B9" s="61">
        <v>0</v>
      </c>
      <c r="C9" s="100">
        <f>1-B9</f>
        <v>1</v>
      </c>
      <c r="D9" s="100">
        <f>C9*1</f>
        <v>1</v>
      </c>
    </row>
    <row r="10" spans="1:4" ht="29.4" hidden="1" customHeight="1">
      <c r="A10" s="10"/>
      <c r="B10" s="61"/>
      <c r="C10" s="105"/>
    </row>
    <row r="11" spans="1:4" ht="31.2" hidden="1" customHeight="1">
      <c r="A11" s="10"/>
      <c r="B11" s="61"/>
      <c r="C11" s="105"/>
    </row>
    <row r="12" spans="1:4" ht="31.95" hidden="1" customHeight="1">
      <c r="A12" s="10"/>
      <c r="B12" s="61"/>
      <c r="C12" s="105"/>
    </row>
    <row r="13" spans="1:4" ht="31.95" hidden="1" customHeight="1">
      <c r="A13" s="10"/>
      <c r="B13" s="61"/>
      <c r="C13" s="105"/>
    </row>
    <row r="14" spans="1:4" ht="31.95" hidden="1" customHeight="1">
      <c r="A14" s="10"/>
      <c r="B14" s="61"/>
      <c r="C14" s="106"/>
    </row>
    <row r="15" spans="1:4">
      <c r="B15" s="11">
        <v>0</v>
      </c>
      <c r="C15" s="107">
        <v>1</v>
      </c>
      <c r="D15" s="104">
        <f>C15*1</f>
        <v>1</v>
      </c>
    </row>
  </sheetData>
  <phoneticPr fontId="0" type="noConversion"/>
  <pageMargins left="0.74803149606299213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indexed="34"/>
  </sheetPr>
  <dimension ref="A2:C15"/>
  <sheetViews>
    <sheetView zoomScale="124" zoomScaleNormal="124" workbookViewId="0">
      <selection activeCell="E16" sqref="E16"/>
    </sheetView>
  </sheetViews>
  <sheetFormatPr defaultRowHeight="13.2"/>
  <cols>
    <col min="1" max="1" width="36.88671875" style="11" customWidth="1"/>
    <col min="2" max="2" width="17.44140625" style="11" customWidth="1"/>
    <col min="3" max="3" width="15" style="11" customWidth="1"/>
    <col min="4" max="4" width="12.6640625" customWidth="1"/>
  </cols>
  <sheetData>
    <row r="2" spans="1:3">
      <c r="A2" s="11" t="s">
        <v>68</v>
      </c>
    </row>
    <row r="4" spans="1:3" ht="67.8" customHeight="1">
      <c r="A4" s="57" t="s">
        <v>0</v>
      </c>
      <c r="B4" s="44" t="s">
        <v>154</v>
      </c>
      <c r="C4" s="44" t="s">
        <v>83</v>
      </c>
    </row>
    <row r="5" spans="1:3">
      <c r="A5" s="51">
        <v>1</v>
      </c>
      <c r="B5" s="51">
        <v>2</v>
      </c>
      <c r="C5" s="51">
        <v>3</v>
      </c>
    </row>
    <row r="6" spans="1:3" ht="31.2" customHeight="1">
      <c r="A6" s="10" t="s">
        <v>16</v>
      </c>
      <c r="B6" s="100">
        <f>'4.1'!D7+'4.2'!D7+'4.3'!D7+'4.5'!D7+'4.4'!D7+'4.6'!D6</f>
        <v>11</v>
      </c>
      <c r="C6" s="101">
        <f>2*B6</f>
        <v>22</v>
      </c>
    </row>
    <row r="7" spans="1:3" ht="27.6" customHeight="1">
      <c r="A7" s="10" t="s">
        <v>17</v>
      </c>
      <c r="B7" s="100">
        <f>'4.1'!D8+'4.2'!D8+'4.3'!D8+'4.5'!D8+'4.4'!D8+'4.6'!D7</f>
        <v>7</v>
      </c>
      <c r="C7" s="101">
        <f>2*B7</f>
        <v>14</v>
      </c>
    </row>
    <row r="8" spans="1:3" ht="30.6" customHeight="1">
      <c r="A8" s="10" t="s">
        <v>18</v>
      </c>
      <c r="B8" s="100">
        <f>'4.1'!D9+'4.2'!D9+'4.3'!D9+'4.5'!D9+'4.4'!D9+'4.6'!D8</f>
        <v>7</v>
      </c>
      <c r="C8" s="101">
        <f>2*B8</f>
        <v>14</v>
      </c>
    </row>
    <row r="9" spans="1:3" ht="31.95" customHeight="1">
      <c r="A9" s="10" t="s">
        <v>19</v>
      </c>
      <c r="B9" s="100">
        <f>'4.1'!D10+'4.2'!D10+'4.3'!D10+'4.5'!D10+'4.4'!D10+'4.6'!D9</f>
        <v>11</v>
      </c>
      <c r="C9" s="101">
        <f>2*B9</f>
        <v>22</v>
      </c>
    </row>
    <row r="10" spans="1:3" ht="29.4" hidden="1" customHeight="1">
      <c r="A10" s="10"/>
      <c r="B10" s="102"/>
      <c r="C10" s="103"/>
    </row>
    <row r="11" spans="1:3" ht="31.2" hidden="1" customHeight="1">
      <c r="A11" s="10"/>
      <c r="B11" s="102"/>
      <c r="C11" s="103"/>
    </row>
    <row r="12" spans="1:3" ht="31.95" hidden="1" customHeight="1">
      <c r="A12" s="10"/>
      <c r="B12" s="102"/>
      <c r="C12" s="103"/>
    </row>
    <row r="13" spans="1:3" ht="31.95" hidden="1" customHeight="1">
      <c r="A13" s="10"/>
      <c r="B13" s="102"/>
      <c r="C13" s="103"/>
    </row>
    <row r="14" spans="1:3" ht="31.95" hidden="1" customHeight="1">
      <c r="A14" s="10"/>
      <c r="B14" s="102"/>
      <c r="C14" s="103"/>
    </row>
    <row r="15" spans="1:3">
      <c r="A15" s="11" t="s">
        <v>4</v>
      </c>
      <c r="B15" s="104">
        <f>'4.1'!D11+'4.2'!D11+'4.3'!D11+'4.6'!D15+'4.4'!D11+'4.5'!D11</f>
        <v>11</v>
      </c>
      <c r="C15" s="11">
        <f>B15*2</f>
        <v>22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FF00"/>
    <pageSetUpPr fitToPage="1"/>
  </sheetPr>
  <dimension ref="A2:L25"/>
  <sheetViews>
    <sheetView zoomScale="124" zoomScaleNormal="124" workbookViewId="0">
      <selection activeCell="B7" sqref="B7"/>
    </sheetView>
  </sheetViews>
  <sheetFormatPr defaultRowHeight="13.2"/>
  <cols>
    <col min="1" max="1" width="21.6640625" style="11" customWidth="1"/>
    <col min="2" max="2" width="14" style="11" customWidth="1"/>
    <col min="3" max="3" width="20.109375" style="11" customWidth="1"/>
    <col min="4" max="4" width="19.33203125" style="11" customWidth="1"/>
    <col min="5" max="5" width="8" style="11" customWidth="1"/>
    <col min="6" max="6" width="8.21875" style="11" customWidth="1"/>
    <col min="7" max="7" width="3.33203125" style="11" customWidth="1"/>
    <col min="8" max="8" width="18.44140625" style="11" customWidth="1"/>
    <col min="9" max="12" width="8.88671875" style="11"/>
  </cols>
  <sheetData>
    <row r="2" spans="1:12">
      <c r="A2" s="11" t="s">
        <v>69</v>
      </c>
    </row>
    <row r="4" spans="1:12" ht="116.4" customHeight="1">
      <c r="A4" s="57" t="s">
        <v>0</v>
      </c>
      <c r="B4" s="92" t="s">
        <v>84</v>
      </c>
      <c r="C4" s="44" t="s">
        <v>85</v>
      </c>
      <c r="D4" s="58" t="s">
        <v>9</v>
      </c>
      <c r="E4" s="22"/>
      <c r="F4" s="6"/>
    </row>
    <row r="5" spans="1:12">
      <c r="A5" s="51">
        <v>1</v>
      </c>
      <c r="B5" s="93">
        <v>2</v>
      </c>
      <c r="C5" s="60">
        <v>3</v>
      </c>
      <c r="D5" s="60">
        <v>4</v>
      </c>
      <c r="E5" s="94"/>
      <c r="F5" s="94"/>
    </row>
    <row r="6" spans="1:12" ht="31.2" customHeight="1">
      <c r="A6" s="10" t="s">
        <v>16</v>
      </c>
      <c r="B6" s="95">
        <f>'1 качество бюдж.планир.'!C6+'2 качество исполн.бюдж.'!C6+'3 качество управл.долг.обяз.'!C6+'4 степень открытости'!C6</f>
        <v>36.000430401030016</v>
      </c>
      <c r="C6" s="79">
        <f>B6-C12</f>
        <v>1.4060791175488419</v>
      </c>
      <c r="D6" s="96">
        <f>POWER(C6,2)</f>
        <v>1.9770584848069299</v>
      </c>
      <c r="E6" s="97"/>
      <c r="F6" s="97"/>
      <c r="G6" s="45" t="s">
        <v>86</v>
      </c>
      <c r="H6" s="11" t="s">
        <v>89</v>
      </c>
    </row>
    <row r="7" spans="1:12" ht="27.6" customHeight="1">
      <c r="A7" s="10" t="s">
        <v>17</v>
      </c>
      <c r="B7" s="95">
        <f>'1 качество бюдж.планир.'!C7+'2 качество исполн.бюдж.'!C7+'3 качество управл.долг.обяз.'!C7+'4 степень открытости'!C7</f>
        <v>28.929474485889578</v>
      </c>
      <c r="C7" s="79">
        <f>B7-C12</f>
        <v>-5.6648767975915959</v>
      </c>
      <c r="D7" s="96">
        <f t="shared" ref="D7:D9" si="0">POWER(C7,2)</f>
        <v>32.090829131891617</v>
      </c>
      <c r="E7" s="97"/>
      <c r="F7" s="98"/>
      <c r="G7" s="45" t="s">
        <v>87</v>
      </c>
      <c r="H7" s="11" t="s">
        <v>89</v>
      </c>
    </row>
    <row r="8" spans="1:12" ht="30.6" customHeight="1">
      <c r="A8" s="10" t="s">
        <v>18</v>
      </c>
      <c r="B8" s="95">
        <f>'1 качество бюдж.планир.'!C8+'2 качество исполн.бюдж.'!C8+'3 качество управл.долг.обяз.'!C8+'4 степень открытости'!C8</f>
        <v>31.497452058611152</v>
      </c>
      <c r="C8" s="79">
        <f>B8-C12</f>
        <v>-3.0968992248700218</v>
      </c>
      <c r="D8" s="96">
        <f t="shared" si="0"/>
        <v>9.5907848090005423</v>
      </c>
      <c r="E8" s="97"/>
      <c r="F8" s="98"/>
      <c r="G8" s="45" t="s">
        <v>86</v>
      </c>
      <c r="H8" s="11" t="s">
        <v>89</v>
      </c>
    </row>
    <row r="9" spans="1:12" ht="31.95" customHeight="1">
      <c r="A9" s="10" t="s">
        <v>19</v>
      </c>
      <c r="B9" s="95">
        <f>'1 качество бюдж.планир.'!C9+'2 качество исполн.бюдж.'!C9+'3 качество управл.долг.обяз.'!C9+'4 степень открытости'!C9</f>
        <v>41.950048188393957</v>
      </c>
      <c r="C9" s="79">
        <f>B9-C12</f>
        <v>7.3556969049127829</v>
      </c>
      <c r="D9" s="96">
        <f t="shared" si="0"/>
        <v>54.106276956943496</v>
      </c>
      <c r="E9" s="97"/>
      <c r="F9" s="98"/>
      <c r="G9" s="45" t="s">
        <v>88</v>
      </c>
      <c r="H9" s="11" t="s">
        <v>89</v>
      </c>
    </row>
    <row r="10" spans="1:12">
      <c r="A10" s="11" t="s">
        <v>4</v>
      </c>
      <c r="B10" s="15"/>
      <c r="C10" s="15"/>
      <c r="D10" s="15"/>
      <c r="E10" s="67"/>
      <c r="F10" s="67"/>
    </row>
    <row r="11" spans="1:12">
      <c r="B11" s="67"/>
      <c r="C11" s="67"/>
      <c r="D11" s="67"/>
      <c r="E11" s="68"/>
      <c r="F11" s="67"/>
    </row>
    <row r="12" spans="1:12" ht="41.4" customHeight="1">
      <c r="A12" s="128" t="s">
        <v>70</v>
      </c>
      <c r="B12" s="129"/>
      <c r="C12" s="34">
        <f>AVERAGE(B6:B9)</f>
        <v>34.594351283481174</v>
      </c>
      <c r="D12" s="69"/>
      <c r="E12" s="69"/>
      <c r="F12" s="69"/>
    </row>
    <row r="13" spans="1:12" s="21" customFormat="1" ht="29.4" customHeight="1">
      <c r="A13" s="130" t="s">
        <v>14</v>
      </c>
      <c r="B13" s="131"/>
      <c r="C13" s="70">
        <f>AVERAGE(D6:D9)</f>
        <v>24.441237345660646</v>
      </c>
      <c r="D13" s="71"/>
      <c r="E13" s="71"/>
      <c r="F13" s="71"/>
      <c r="G13" s="72"/>
      <c r="H13" s="72"/>
      <c r="I13" s="72"/>
      <c r="J13" s="72"/>
      <c r="K13" s="72"/>
      <c r="L13" s="72"/>
    </row>
    <row r="14" spans="1:12" ht="46.2" customHeight="1">
      <c r="A14" s="132" t="s">
        <v>71</v>
      </c>
      <c r="B14" s="133"/>
      <c r="C14" s="73">
        <f>SQRT(C13)</f>
        <v>4.9438079802577937</v>
      </c>
      <c r="D14" s="74"/>
      <c r="E14" s="75"/>
      <c r="F14" s="35"/>
    </row>
    <row r="15" spans="1:12">
      <c r="B15" s="67"/>
      <c r="C15" s="67"/>
      <c r="D15" s="67"/>
      <c r="E15" s="67"/>
      <c r="F15" s="67"/>
    </row>
    <row r="16" spans="1:12">
      <c r="A16" s="99" t="s">
        <v>72</v>
      </c>
      <c r="B16" s="78" t="s">
        <v>10</v>
      </c>
      <c r="C16" s="78"/>
      <c r="D16" s="78"/>
      <c r="E16" s="79">
        <f>C12+2/3*C14</f>
        <v>37.890223270319701</v>
      </c>
      <c r="F16" s="79">
        <v>100</v>
      </c>
    </row>
    <row r="17" spans="1:6">
      <c r="A17" s="99" t="s">
        <v>73</v>
      </c>
      <c r="B17" s="78" t="s">
        <v>11</v>
      </c>
      <c r="C17" s="78"/>
      <c r="D17" s="78"/>
      <c r="E17" s="79">
        <f>C12-2/3*C14</f>
        <v>31.298479296642647</v>
      </c>
      <c r="F17" s="79">
        <f>E16</f>
        <v>37.890223270319701</v>
      </c>
    </row>
    <row r="18" spans="1:6">
      <c r="A18" s="99" t="s">
        <v>74</v>
      </c>
      <c r="B18" s="78" t="s">
        <v>12</v>
      </c>
      <c r="C18" s="78"/>
      <c r="D18" s="78"/>
      <c r="E18" s="79">
        <v>0</v>
      </c>
      <c r="F18" s="79">
        <f>E17</f>
        <v>31.298479296642647</v>
      </c>
    </row>
    <row r="19" spans="1:6">
      <c r="B19" s="67"/>
      <c r="C19" s="67"/>
      <c r="D19" s="67"/>
      <c r="E19" s="67"/>
      <c r="F19" s="67"/>
    </row>
    <row r="20" spans="1:6">
      <c r="B20" s="67"/>
      <c r="C20" s="67"/>
      <c r="D20" s="67"/>
      <c r="E20" s="67"/>
      <c r="F20" s="67"/>
    </row>
    <row r="21" spans="1:6">
      <c r="B21" s="67"/>
      <c r="C21" s="67"/>
      <c r="D21" s="67"/>
      <c r="E21" s="67"/>
      <c r="F21" s="67"/>
    </row>
    <row r="22" spans="1:6">
      <c r="B22" s="67"/>
      <c r="C22" s="67"/>
      <c r="D22" s="67"/>
      <c r="E22" s="67"/>
      <c r="F22" s="67"/>
    </row>
    <row r="23" spans="1:6">
      <c r="B23" s="67"/>
      <c r="C23" s="67"/>
      <c r="D23" s="67"/>
      <c r="E23" s="67"/>
      <c r="F23" s="67"/>
    </row>
    <row r="24" spans="1:6">
      <c r="B24" s="67"/>
      <c r="C24" s="67"/>
      <c r="D24" s="67"/>
      <c r="E24" s="67"/>
      <c r="F24" s="67"/>
    </row>
    <row r="25" spans="1:6">
      <c r="B25" s="67"/>
      <c r="C25" s="67"/>
      <c r="D25" s="67"/>
      <c r="E25" s="67"/>
      <c r="F25" s="67"/>
    </row>
  </sheetData>
  <mergeCells count="3">
    <mergeCell ref="A12:B12"/>
    <mergeCell ref="A13:B13"/>
    <mergeCell ref="A14:B14"/>
  </mergeCells>
  <phoneticPr fontId="0" type="noConversion"/>
  <pageMargins left="0.75" right="0.75" top="1" bottom="1" header="0.5" footer="0.5"/>
  <pageSetup paperSize="9" scale="8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FFFF"/>
  </sheetPr>
  <dimension ref="A2:AQ19"/>
  <sheetViews>
    <sheetView zoomScale="114" zoomScaleNormal="114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9" sqref="C9"/>
    </sheetView>
  </sheetViews>
  <sheetFormatPr defaultRowHeight="13.2"/>
  <cols>
    <col min="1" max="1" width="21.6640625" style="11" customWidth="1"/>
    <col min="2" max="2" width="11.88671875" style="11" customWidth="1"/>
    <col min="3" max="3" width="12.21875" style="11" customWidth="1"/>
    <col min="4" max="4" width="15.6640625" style="11" customWidth="1"/>
    <col min="5" max="5" width="7.77734375" style="11" customWidth="1"/>
    <col min="6" max="6" width="15.88671875" style="11" customWidth="1"/>
    <col min="7" max="7" width="12.88671875" style="11" customWidth="1"/>
    <col min="8" max="8" width="14.44140625" style="11" customWidth="1"/>
    <col min="9" max="9" width="15" style="11" customWidth="1"/>
    <col min="10" max="10" width="8.109375" style="72" customWidth="1"/>
    <col min="11" max="11" width="14.88671875" style="11" customWidth="1"/>
    <col min="12" max="12" width="14.109375" style="11" customWidth="1"/>
    <col min="13" max="13" width="14.88671875" style="11" customWidth="1"/>
    <col min="14" max="14" width="22.21875" style="11" customWidth="1"/>
    <col min="15" max="15" width="8.21875" style="11" customWidth="1"/>
    <col min="16" max="16" width="13" style="11" customWidth="1"/>
    <col min="17" max="17" width="14.6640625" style="11" customWidth="1"/>
    <col min="18" max="18" width="13" style="11" customWidth="1"/>
    <col min="19" max="19" width="16.33203125" style="11" customWidth="1"/>
    <col min="20" max="20" width="7.5546875" style="11" customWidth="1"/>
    <col min="21" max="21" width="10.21875" style="11" customWidth="1"/>
    <col min="22" max="22" width="16.5546875" style="11" customWidth="1"/>
    <col min="23" max="23" width="14.21875" style="11" customWidth="1"/>
    <col min="24" max="24" width="13.6640625" style="11" customWidth="1"/>
    <col min="25" max="25" width="18" style="11" customWidth="1"/>
    <col min="26" max="26" width="9.44140625" style="11" customWidth="1"/>
    <col min="27" max="27" width="18.77734375" style="11" customWidth="1"/>
    <col min="28" max="28" width="24.109375" style="11" customWidth="1"/>
    <col min="29" max="29" width="14.6640625" style="11" customWidth="1"/>
    <col min="30" max="30" width="13.77734375" style="11" customWidth="1"/>
    <col min="31" max="31" width="16.21875" style="11" customWidth="1"/>
    <col min="32" max="32" width="14.5546875" customWidth="1"/>
    <col min="33" max="33" width="15" customWidth="1"/>
  </cols>
  <sheetData>
    <row r="2" spans="1:43">
      <c r="A2" s="11" t="s">
        <v>91</v>
      </c>
    </row>
    <row r="3" spans="1:43">
      <c r="A3" s="11" t="s">
        <v>90</v>
      </c>
    </row>
    <row r="5" spans="1:43" ht="189.6" customHeight="1">
      <c r="A5" s="57" t="s">
        <v>0</v>
      </c>
      <c r="B5" s="40" t="s">
        <v>139</v>
      </c>
      <c r="C5" s="40" t="s">
        <v>140</v>
      </c>
      <c r="D5" s="24" t="s">
        <v>100</v>
      </c>
      <c r="E5" s="46" t="s">
        <v>95</v>
      </c>
      <c r="F5" s="44" t="s">
        <v>126</v>
      </c>
      <c r="G5" s="44" t="s">
        <v>125</v>
      </c>
      <c r="H5" s="44" t="s">
        <v>127</v>
      </c>
      <c r="I5" s="24" t="s">
        <v>101</v>
      </c>
      <c r="J5" s="46" t="s">
        <v>95</v>
      </c>
      <c r="K5" s="44" t="s">
        <v>146</v>
      </c>
      <c r="L5" s="44" t="s">
        <v>102</v>
      </c>
      <c r="M5" s="81" t="s">
        <v>103</v>
      </c>
      <c r="N5" s="29" t="s">
        <v>104</v>
      </c>
      <c r="O5" s="46" t="s">
        <v>95</v>
      </c>
      <c r="P5" s="44" t="s">
        <v>109</v>
      </c>
      <c r="Q5" s="44" t="s">
        <v>110</v>
      </c>
      <c r="R5" s="44" t="s">
        <v>111</v>
      </c>
      <c r="S5" s="24" t="s">
        <v>120</v>
      </c>
      <c r="T5" s="46" t="s">
        <v>95</v>
      </c>
      <c r="U5" s="44" t="s">
        <v>117</v>
      </c>
      <c r="V5" s="44" t="s">
        <v>118</v>
      </c>
      <c r="W5" s="44" t="s">
        <v>119</v>
      </c>
      <c r="X5" s="44" t="s">
        <v>121</v>
      </c>
      <c r="Y5" s="24" t="s">
        <v>170</v>
      </c>
      <c r="Z5" s="46" t="s">
        <v>148</v>
      </c>
      <c r="AA5" s="58" t="s">
        <v>164</v>
      </c>
      <c r="AB5" s="58" t="s">
        <v>165</v>
      </c>
      <c r="AC5" s="44" t="s">
        <v>166</v>
      </c>
      <c r="AD5" s="44" t="s">
        <v>167</v>
      </c>
      <c r="AE5" s="44" t="s">
        <v>147</v>
      </c>
    </row>
    <row r="6" spans="1:43">
      <c r="A6" s="51"/>
      <c r="B6" s="41"/>
      <c r="C6" s="41"/>
      <c r="D6" s="25" t="s">
        <v>134</v>
      </c>
      <c r="E6" s="47" t="s">
        <v>96</v>
      </c>
      <c r="F6" s="51" t="s">
        <v>97</v>
      </c>
      <c r="G6" s="51" t="s">
        <v>98</v>
      </c>
      <c r="H6" s="51" t="s">
        <v>99</v>
      </c>
      <c r="I6" s="25" t="s">
        <v>135</v>
      </c>
      <c r="J6" s="47" t="s">
        <v>96</v>
      </c>
      <c r="K6" s="51" t="s">
        <v>92</v>
      </c>
      <c r="L6" s="51" t="s">
        <v>93</v>
      </c>
      <c r="M6" s="51" t="s">
        <v>94</v>
      </c>
      <c r="N6" s="25" t="s">
        <v>136</v>
      </c>
      <c r="O6" s="47" t="s">
        <v>108</v>
      </c>
      <c r="P6" s="51" t="s">
        <v>105</v>
      </c>
      <c r="Q6" s="51" t="s">
        <v>106</v>
      </c>
      <c r="R6" s="51" t="s">
        <v>107</v>
      </c>
      <c r="S6" s="25" t="s">
        <v>137</v>
      </c>
      <c r="T6" s="47" t="s">
        <v>112</v>
      </c>
      <c r="U6" s="51" t="s">
        <v>113</v>
      </c>
      <c r="V6" s="51" t="s">
        <v>114</v>
      </c>
      <c r="W6" s="51" t="s">
        <v>115</v>
      </c>
      <c r="X6" s="51" t="s">
        <v>116</v>
      </c>
      <c r="Y6" s="25" t="s">
        <v>138</v>
      </c>
      <c r="Z6" s="47" t="s">
        <v>96</v>
      </c>
      <c r="AA6" s="60" t="s">
        <v>122</v>
      </c>
      <c r="AB6" s="60" t="s">
        <v>123</v>
      </c>
      <c r="AC6" s="51" t="s">
        <v>124</v>
      </c>
      <c r="AD6" s="51" t="s">
        <v>168</v>
      </c>
      <c r="AE6" s="51" t="s">
        <v>169</v>
      </c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</row>
    <row r="7" spans="1:43" ht="31.2" customHeight="1">
      <c r="A7" s="10" t="s">
        <v>16</v>
      </c>
      <c r="B7" s="42">
        <v>0</v>
      </c>
      <c r="C7" s="42">
        <v>0</v>
      </c>
      <c r="D7" s="26">
        <f>F7/(G7+H7)</f>
        <v>0.2048251494939112</v>
      </c>
      <c r="E7" s="82"/>
      <c r="F7" s="83">
        <v>1404000</v>
      </c>
      <c r="G7" s="83">
        <v>5294627</v>
      </c>
      <c r="H7" s="83">
        <v>1560000</v>
      </c>
      <c r="I7" s="27">
        <f>K7/(L7-M7)</f>
        <v>6.7584590717862686E-2</v>
      </c>
      <c r="J7" s="27"/>
      <c r="K7" s="83">
        <v>3329900</v>
      </c>
      <c r="L7" s="83">
        <v>114122406.7</v>
      </c>
      <c r="M7" s="83">
        <v>64852299.939999998</v>
      </c>
      <c r="N7" s="27">
        <f>P7/(Q7-R7)</f>
        <v>5.3808301407745195E-5</v>
      </c>
      <c r="O7" s="84"/>
      <c r="P7" s="61">
        <v>6102.59</v>
      </c>
      <c r="Q7" s="48">
        <f>'1.1'!C7</f>
        <v>114105578.54000001</v>
      </c>
      <c r="R7" s="48">
        <v>692037.5</v>
      </c>
      <c r="S7" s="27">
        <f>((U7-V7)/(W7-X7))*100</f>
        <v>0</v>
      </c>
      <c r="T7" s="84"/>
      <c r="U7" s="48">
        <v>0</v>
      </c>
      <c r="V7" s="48">
        <v>0</v>
      </c>
      <c r="W7" s="48">
        <f>L7</f>
        <v>114122406.7</v>
      </c>
      <c r="X7" s="48">
        <f>M7</f>
        <v>64852299.939999998</v>
      </c>
      <c r="Y7" s="27">
        <v>0</v>
      </c>
      <c r="Z7" s="32"/>
      <c r="AA7" s="134">
        <v>0</v>
      </c>
      <c r="AB7" s="134">
        <v>0</v>
      </c>
      <c r="AC7" s="136">
        <v>49270106.759999998</v>
      </c>
      <c r="AD7" s="48">
        <v>0</v>
      </c>
      <c r="AE7" s="48">
        <v>0</v>
      </c>
      <c r="AG7" s="31"/>
    </row>
    <row r="8" spans="1:43" ht="27.6" customHeight="1">
      <c r="A8" s="10" t="s">
        <v>17</v>
      </c>
      <c r="B8" s="42">
        <v>0</v>
      </c>
      <c r="C8" s="42">
        <v>0</v>
      </c>
      <c r="D8" s="26">
        <f>F8/(G8+H8)</f>
        <v>0.2077393993545707</v>
      </c>
      <c r="E8" s="82"/>
      <c r="F8" s="83">
        <v>342000</v>
      </c>
      <c r="G8" s="83">
        <v>1304293.3899999999</v>
      </c>
      <c r="H8" s="83">
        <v>342000</v>
      </c>
      <c r="I8" s="27">
        <f>K8/(L8-M8)</f>
        <v>7.6373680399054789E-2</v>
      </c>
      <c r="J8" s="27"/>
      <c r="K8" s="83">
        <f>'3.1'!B7</f>
        <v>316000</v>
      </c>
      <c r="L8" s="83">
        <v>12057445.17</v>
      </c>
      <c r="M8" s="83">
        <v>7919894.1399999997</v>
      </c>
      <c r="N8" s="27">
        <f>P8/(Q8-R8)</f>
        <v>7.1242465905695066E-5</v>
      </c>
      <c r="O8" s="84"/>
      <c r="P8" s="61">
        <v>841.81</v>
      </c>
      <c r="Q8" s="48">
        <f>'1.1'!C8</f>
        <v>12030214.15</v>
      </c>
      <c r="R8" s="48">
        <v>214087.5</v>
      </c>
      <c r="S8" s="27">
        <f>((U8-V8)/(W8-X8))*100</f>
        <v>0</v>
      </c>
      <c r="T8" s="84"/>
      <c r="U8" s="48">
        <v>0</v>
      </c>
      <c r="V8" s="48">
        <v>0</v>
      </c>
      <c r="W8" s="48">
        <f t="shared" ref="W8:W16" si="0">L8</f>
        <v>12057445.17</v>
      </c>
      <c r="X8" s="48">
        <f t="shared" ref="X8:X16" si="1">M8</f>
        <v>7919894.1399999997</v>
      </c>
      <c r="Y8" s="27">
        <f>((AA8-AB8)/(AC8+AD8)*100)/AE8</f>
        <v>0.5863603339579313</v>
      </c>
      <c r="Z8" s="32"/>
      <c r="AA8" s="134">
        <v>1996772</v>
      </c>
      <c r="AB8" s="134">
        <f>46930+102995</f>
        <v>149925</v>
      </c>
      <c r="AC8" s="136">
        <v>4137551.03</v>
      </c>
      <c r="AD8" s="48">
        <v>6347400</v>
      </c>
      <c r="AE8" s="48">
        <v>30.04</v>
      </c>
    </row>
    <row r="9" spans="1:43" ht="30.6" customHeight="1">
      <c r="A9" s="10" t="s">
        <v>18</v>
      </c>
      <c r="B9" s="42">
        <v>0</v>
      </c>
      <c r="C9" s="42">
        <v>0</v>
      </c>
      <c r="D9" s="26">
        <f>F9/(G9+H9)</f>
        <v>0</v>
      </c>
      <c r="E9" s="82"/>
      <c r="F9" s="83">
        <v>0</v>
      </c>
      <c r="G9" s="83">
        <v>998628.21</v>
      </c>
      <c r="H9" s="83">
        <v>0</v>
      </c>
      <c r="I9" s="27">
        <f>K9/(L9-M9)</f>
        <v>0</v>
      </c>
      <c r="J9" s="27"/>
      <c r="K9" s="83">
        <f>'3.1'!B8</f>
        <v>0</v>
      </c>
      <c r="L9" s="83">
        <v>21265170.789999999</v>
      </c>
      <c r="M9" s="83">
        <v>12301041</v>
      </c>
      <c r="N9" s="27">
        <f>P9/(Q9-R9)</f>
        <v>0</v>
      </c>
      <c r="O9" s="84"/>
      <c r="P9" s="61">
        <v>0</v>
      </c>
      <c r="Q9" s="48">
        <f>'1.1'!C9</f>
        <v>21398816.140000001</v>
      </c>
      <c r="R9" s="48">
        <v>252287.5</v>
      </c>
      <c r="S9" s="27">
        <f>((U9-V9)/(W9-X9))*100</f>
        <v>1.4908903946157614</v>
      </c>
      <c r="T9" s="84"/>
      <c r="U9" s="48">
        <v>133645.35</v>
      </c>
      <c r="V9" s="48">
        <v>0</v>
      </c>
      <c r="W9" s="48">
        <f t="shared" si="0"/>
        <v>21265170.789999999</v>
      </c>
      <c r="X9" s="48">
        <f t="shared" si="1"/>
        <v>12301041</v>
      </c>
      <c r="Y9" s="27">
        <f t="shared" ref="Y9:Y10" si="2">((AA9-AB9)/(AC9+AD9)*100)/AE9</f>
        <v>0.73908605013466677</v>
      </c>
      <c r="Z9" s="32"/>
      <c r="AA9" s="134">
        <v>2255470</v>
      </c>
      <c r="AB9" s="134">
        <f>53900+111700</f>
        <v>165600</v>
      </c>
      <c r="AC9" s="136">
        <v>8964129.7899999991</v>
      </c>
      <c r="AD9" s="48">
        <v>7437500</v>
      </c>
      <c r="AE9" s="48">
        <v>17.239999999999998</v>
      </c>
    </row>
    <row r="10" spans="1:43" ht="31.95" customHeight="1">
      <c r="A10" s="10" t="s">
        <v>19</v>
      </c>
      <c r="B10" s="42">
        <v>0</v>
      </c>
      <c r="C10" s="42">
        <v>0</v>
      </c>
      <c r="D10" s="26">
        <f>F10/(G10+H10)</f>
        <v>0</v>
      </c>
      <c r="E10" s="82"/>
      <c r="F10" s="83">
        <v>0</v>
      </c>
      <c r="G10" s="83">
        <v>627919</v>
      </c>
      <c r="H10" s="83">
        <v>0</v>
      </c>
      <c r="I10" s="27">
        <f>K10/(L10-M10)</f>
        <v>0</v>
      </c>
      <c r="J10" s="27"/>
      <c r="K10" s="83">
        <f>'3.1'!B9</f>
        <v>0</v>
      </c>
      <c r="L10" s="83">
        <v>12232306.82</v>
      </c>
      <c r="M10" s="83">
        <v>7693811.4000000004</v>
      </c>
      <c r="N10" s="27">
        <f>P10/(Q10-R10)</f>
        <v>0</v>
      </c>
      <c r="O10" s="84"/>
      <c r="P10" s="61">
        <v>0</v>
      </c>
      <c r="Q10" s="48">
        <f>'1.1'!C10</f>
        <v>11316391.07</v>
      </c>
      <c r="R10" s="48">
        <v>138087.5</v>
      </c>
      <c r="S10" s="27">
        <f>((U10-V10)/(W10-X10))*100</f>
        <v>0</v>
      </c>
      <c r="T10" s="84"/>
      <c r="U10" s="48">
        <v>0</v>
      </c>
      <c r="V10" s="48">
        <v>0</v>
      </c>
      <c r="W10" s="48">
        <f t="shared" si="0"/>
        <v>12232306.82</v>
      </c>
      <c r="X10" s="48">
        <f t="shared" si="1"/>
        <v>7693811.4000000004</v>
      </c>
      <c r="Y10" s="27">
        <f t="shared" si="2"/>
        <v>0.83005036295124102</v>
      </c>
      <c r="Z10" s="32"/>
      <c r="AA10" s="134">
        <v>1847956</v>
      </c>
      <c r="AB10" s="134">
        <f>40500+61008.5</f>
        <v>101508.5</v>
      </c>
      <c r="AC10" s="136">
        <v>4538495.42</v>
      </c>
      <c r="AD10" s="48">
        <v>4779600</v>
      </c>
      <c r="AE10" s="48">
        <v>22.58</v>
      </c>
    </row>
    <row r="11" spans="1:43" ht="29.4" hidden="1" customHeight="1">
      <c r="A11" s="10"/>
      <c r="B11" s="10"/>
      <c r="C11" s="10"/>
      <c r="D11" s="85"/>
      <c r="E11" s="85"/>
      <c r="F11" s="83"/>
      <c r="G11" s="86"/>
      <c r="H11" s="83"/>
      <c r="I11" s="23"/>
      <c r="J11" s="28"/>
      <c r="K11" s="83"/>
      <c r="L11" s="83"/>
      <c r="M11" s="83"/>
      <c r="N11" s="23"/>
      <c r="O11" s="48"/>
      <c r="R11" s="50"/>
      <c r="S11" s="50"/>
      <c r="T11" s="50"/>
      <c r="U11" s="50"/>
      <c r="V11" s="50"/>
      <c r="W11" s="48">
        <f t="shared" si="0"/>
        <v>0</v>
      </c>
      <c r="X11" s="48">
        <f t="shared" si="1"/>
        <v>0</v>
      </c>
      <c r="Y11" s="50"/>
      <c r="Z11" s="50"/>
      <c r="AA11" s="135"/>
      <c r="AB11" s="135"/>
      <c r="AC11" s="136">
        <f t="shared" ref="AC8:AC16" si="3">L11</f>
        <v>0</v>
      </c>
      <c r="AD11" s="50"/>
      <c r="AE11" s="50"/>
    </row>
    <row r="12" spans="1:43" ht="31.2" hidden="1" customHeight="1">
      <c r="A12" s="10"/>
      <c r="B12" s="10"/>
      <c r="C12" s="10"/>
      <c r="D12" s="85"/>
      <c r="E12" s="85"/>
      <c r="F12" s="85"/>
      <c r="G12" s="86"/>
      <c r="H12" s="83"/>
      <c r="I12" s="23"/>
      <c r="J12" s="28"/>
      <c r="K12" s="83"/>
      <c r="L12" s="83"/>
      <c r="M12" s="83"/>
      <c r="N12" s="23"/>
      <c r="O12" s="48"/>
      <c r="R12" s="50"/>
      <c r="S12" s="50"/>
      <c r="T12" s="50"/>
      <c r="U12" s="50"/>
      <c r="V12" s="50"/>
      <c r="W12" s="48">
        <f t="shared" si="0"/>
        <v>0</v>
      </c>
      <c r="X12" s="48">
        <f t="shared" si="1"/>
        <v>0</v>
      </c>
      <c r="Y12" s="50"/>
      <c r="Z12" s="50"/>
      <c r="AA12" s="135"/>
      <c r="AB12" s="135"/>
      <c r="AC12" s="136">
        <f t="shared" si="3"/>
        <v>0</v>
      </c>
      <c r="AD12" s="50"/>
      <c r="AE12" s="50"/>
    </row>
    <row r="13" spans="1:43" ht="31.95" hidden="1" customHeight="1">
      <c r="A13" s="10"/>
      <c r="B13" s="10"/>
      <c r="C13" s="10"/>
      <c r="D13" s="85"/>
      <c r="E13" s="85"/>
      <c r="F13" s="83"/>
      <c r="G13" s="86"/>
      <c r="H13" s="83"/>
      <c r="I13" s="23"/>
      <c r="J13" s="28"/>
      <c r="K13" s="83"/>
      <c r="L13" s="83"/>
      <c r="M13" s="83"/>
      <c r="N13" s="23"/>
      <c r="O13" s="48"/>
      <c r="R13" s="50"/>
      <c r="S13" s="50"/>
      <c r="T13" s="50"/>
      <c r="U13" s="50"/>
      <c r="V13" s="50"/>
      <c r="W13" s="48">
        <f t="shared" si="0"/>
        <v>0</v>
      </c>
      <c r="X13" s="48">
        <f t="shared" si="1"/>
        <v>0</v>
      </c>
      <c r="Y13" s="50"/>
      <c r="Z13" s="50"/>
      <c r="AA13" s="135"/>
      <c r="AB13" s="135"/>
      <c r="AC13" s="136">
        <f t="shared" si="3"/>
        <v>0</v>
      </c>
      <c r="AD13" s="50"/>
      <c r="AE13" s="50"/>
    </row>
    <row r="14" spans="1:43" ht="31.95" hidden="1" customHeight="1">
      <c r="A14" s="10"/>
      <c r="B14" s="10"/>
      <c r="C14" s="10"/>
      <c r="D14" s="85"/>
      <c r="E14" s="85"/>
      <c r="F14" s="83"/>
      <c r="G14" s="86"/>
      <c r="H14" s="83"/>
      <c r="I14" s="23"/>
      <c r="J14" s="28"/>
      <c r="K14" s="83"/>
      <c r="L14" s="83"/>
      <c r="M14" s="83"/>
      <c r="N14" s="23"/>
      <c r="O14" s="48"/>
      <c r="R14" s="50"/>
      <c r="S14" s="50"/>
      <c r="T14" s="50"/>
      <c r="U14" s="50"/>
      <c r="V14" s="50"/>
      <c r="W14" s="48">
        <f t="shared" si="0"/>
        <v>0</v>
      </c>
      <c r="X14" s="48">
        <f t="shared" si="1"/>
        <v>0</v>
      </c>
      <c r="Y14" s="50"/>
      <c r="Z14" s="50"/>
      <c r="AA14" s="135"/>
      <c r="AB14" s="135"/>
      <c r="AC14" s="136">
        <f t="shared" si="3"/>
        <v>0</v>
      </c>
      <c r="AD14" s="50"/>
      <c r="AE14" s="50"/>
    </row>
    <row r="15" spans="1:43" ht="31.95" hidden="1" customHeight="1">
      <c r="A15" s="87"/>
      <c r="B15" s="87"/>
      <c r="C15" s="87"/>
      <c r="D15" s="88"/>
      <c r="E15" s="88"/>
      <c r="F15" s="89"/>
      <c r="G15" s="90"/>
      <c r="H15" s="89"/>
      <c r="I15" s="52"/>
      <c r="J15" s="53"/>
      <c r="K15" s="89"/>
      <c r="L15" s="89"/>
      <c r="M15" s="89"/>
      <c r="N15" s="52"/>
      <c r="O15" s="49"/>
      <c r="R15" s="50"/>
      <c r="S15" s="50"/>
      <c r="T15" s="50"/>
      <c r="U15" s="50"/>
      <c r="V15" s="50"/>
      <c r="W15" s="49">
        <f t="shared" si="0"/>
        <v>0</v>
      </c>
      <c r="X15" s="49">
        <f t="shared" si="1"/>
        <v>0</v>
      </c>
      <c r="Y15" s="50"/>
      <c r="Z15" s="50"/>
      <c r="AA15" s="135"/>
      <c r="AB15" s="135"/>
      <c r="AC15" s="137">
        <f t="shared" si="3"/>
        <v>0</v>
      </c>
      <c r="AD15" s="50"/>
      <c r="AE15" s="50"/>
    </row>
    <row r="16" spans="1:43" s="4" customFormat="1">
      <c r="A16" s="61" t="s">
        <v>4</v>
      </c>
      <c r="B16" s="61">
        <f>SUM(B7:B15)</f>
        <v>0</v>
      </c>
      <c r="C16" s="61">
        <v>0</v>
      </c>
      <c r="D16" s="54"/>
      <c r="E16" s="48"/>
      <c r="F16" s="48"/>
      <c r="G16" s="48"/>
      <c r="H16" s="48"/>
      <c r="I16" s="54"/>
      <c r="J16" s="28"/>
      <c r="K16" s="48">
        <f>SUM(K7:K15)</f>
        <v>3645900</v>
      </c>
      <c r="L16" s="48">
        <f>SUM(L7:L15)</f>
        <v>159677329.47999999</v>
      </c>
      <c r="M16" s="48">
        <f>SUM(M7:M15)</f>
        <v>92767046.480000004</v>
      </c>
      <c r="N16" s="54"/>
      <c r="O16" s="48"/>
      <c r="P16" s="61">
        <f>SUM(P7:P15)</f>
        <v>6944.4</v>
      </c>
      <c r="Q16" s="48">
        <f>SUM(Q7:Q15)</f>
        <v>158850999.90000001</v>
      </c>
      <c r="R16" s="48">
        <f>SUM(R7:R15)</f>
        <v>1296500</v>
      </c>
      <c r="S16" s="48"/>
      <c r="T16" s="48"/>
      <c r="U16" s="48"/>
      <c r="V16" s="48"/>
      <c r="W16" s="48">
        <f t="shared" si="0"/>
        <v>159677329.47999999</v>
      </c>
      <c r="X16" s="48">
        <f t="shared" si="1"/>
        <v>92767046.480000004</v>
      </c>
      <c r="Y16" s="48"/>
      <c r="Z16" s="48"/>
      <c r="AA16" s="136">
        <f>SUM(AA7:AA15)</f>
        <v>6100198</v>
      </c>
      <c r="AB16" s="136">
        <f>SUM(AB7:AB15)</f>
        <v>417033.5</v>
      </c>
      <c r="AC16" s="136">
        <f>SUM(AC7:AC15)</f>
        <v>66910283</v>
      </c>
      <c r="AD16" s="48">
        <f>SUM(AD7:AD15)</f>
        <v>18564500</v>
      </c>
      <c r="AE16" s="48"/>
    </row>
    <row r="17" spans="4:33">
      <c r="D17" s="50"/>
      <c r="E17" s="50"/>
      <c r="F17" s="50"/>
      <c r="G17" s="50"/>
      <c r="H17" s="50"/>
      <c r="I17" s="50"/>
      <c r="J17" s="91"/>
      <c r="K17" s="50"/>
      <c r="L17" s="50"/>
      <c r="M17" s="50"/>
      <c r="N17" s="50"/>
      <c r="O17" s="50"/>
      <c r="AC17" s="50"/>
      <c r="AD17" s="50"/>
      <c r="AE17" s="50"/>
      <c r="AF17" s="9"/>
      <c r="AG17" s="9"/>
    </row>
    <row r="18" spans="4:33">
      <c r="D18" s="50"/>
      <c r="E18" s="50"/>
      <c r="F18" s="50"/>
      <c r="G18" s="50"/>
      <c r="H18" s="50"/>
      <c r="I18" s="50"/>
      <c r="J18" s="91"/>
      <c r="K18" s="50"/>
      <c r="L18" s="50"/>
      <c r="M18" s="50"/>
      <c r="N18" s="50"/>
      <c r="O18" s="50"/>
    </row>
    <row r="19" spans="4:33">
      <c r="G19" s="50"/>
      <c r="H19" s="50"/>
      <c r="I19" s="50"/>
      <c r="J19" s="91"/>
      <c r="K19" s="50"/>
      <c r="L19" s="50"/>
      <c r="M19" s="50"/>
      <c r="N19" s="50"/>
      <c r="O19" s="50"/>
    </row>
  </sheetData>
  <phoneticPr fontId="0" type="noConversion"/>
  <pageMargins left="0.15748031496062992" right="0.15748031496062992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33"/>
  </sheetPr>
  <dimension ref="A2:D15"/>
  <sheetViews>
    <sheetView zoomScale="143" zoomScaleNormal="143" workbookViewId="0">
      <selection activeCell="F7" sqref="F7"/>
    </sheetView>
  </sheetViews>
  <sheetFormatPr defaultRowHeight="13.2"/>
  <cols>
    <col min="1" max="1" width="36.109375" style="11" customWidth="1"/>
    <col min="2" max="2" width="17.109375" style="11" customWidth="1"/>
    <col min="3" max="3" width="15.88671875" style="11" customWidth="1"/>
    <col min="4" max="4" width="16.109375" style="11" customWidth="1"/>
  </cols>
  <sheetData>
    <row r="2" spans="1:4">
      <c r="A2" s="11" t="s">
        <v>29</v>
      </c>
    </row>
    <row r="4" spans="1:4" ht="99" customHeight="1">
      <c r="A4" s="57" t="s">
        <v>0</v>
      </c>
      <c r="B4" s="44" t="s">
        <v>8</v>
      </c>
      <c r="C4" s="44" t="s">
        <v>30</v>
      </c>
      <c r="D4" s="44" t="s">
        <v>76</v>
      </c>
    </row>
    <row r="5" spans="1:4">
      <c r="A5" s="51">
        <v>1</v>
      </c>
      <c r="B5" s="51">
        <v>2</v>
      </c>
      <c r="C5" s="51">
        <v>3</v>
      </c>
      <c r="D5" s="51">
        <v>4</v>
      </c>
    </row>
    <row r="6" spans="1:4" ht="31.2" customHeight="1">
      <c r="A6" s="10" t="s">
        <v>16</v>
      </c>
      <c r="B6" s="108" t="s">
        <v>13</v>
      </c>
      <c r="C6" s="61">
        <v>1</v>
      </c>
      <c r="D6" s="101">
        <f>C6*1</f>
        <v>1</v>
      </c>
    </row>
    <row r="7" spans="1:4" ht="27.6" customHeight="1">
      <c r="A7" s="10" t="s">
        <v>17</v>
      </c>
      <c r="B7" s="108" t="s">
        <v>13</v>
      </c>
      <c r="C7" s="61">
        <v>1</v>
      </c>
      <c r="D7" s="101">
        <f t="shared" ref="D7:D9" si="0">C7*1</f>
        <v>1</v>
      </c>
    </row>
    <row r="8" spans="1:4" ht="30.6" customHeight="1">
      <c r="A8" s="10" t="s">
        <v>18</v>
      </c>
      <c r="B8" s="108" t="s">
        <v>13</v>
      </c>
      <c r="C8" s="61">
        <v>1</v>
      </c>
      <c r="D8" s="101">
        <f t="shared" si="0"/>
        <v>1</v>
      </c>
    </row>
    <row r="9" spans="1:4" ht="31.95" customHeight="1">
      <c r="A9" s="10" t="s">
        <v>19</v>
      </c>
      <c r="B9" s="108" t="s">
        <v>13</v>
      </c>
      <c r="C9" s="61">
        <v>1</v>
      </c>
      <c r="D9" s="101">
        <f t="shared" si="0"/>
        <v>1</v>
      </c>
    </row>
    <row r="10" spans="1:4" ht="29.4" hidden="1" customHeight="1">
      <c r="A10" s="10"/>
      <c r="B10" s="108"/>
      <c r="C10" s="61"/>
      <c r="D10" s="101"/>
    </row>
    <row r="11" spans="1:4" ht="31.2" hidden="1" customHeight="1">
      <c r="A11" s="10"/>
      <c r="B11" s="108"/>
      <c r="C11" s="61"/>
      <c r="D11" s="101"/>
    </row>
    <row r="12" spans="1:4" ht="31.95" hidden="1" customHeight="1">
      <c r="A12" s="10"/>
      <c r="B12" s="108"/>
      <c r="C12" s="61"/>
      <c r="D12" s="101"/>
    </row>
    <row r="13" spans="1:4" ht="31.95" hidden="1" customHeight="1">
      <c r="A13" s="10"/>
      <c r="B13" s="108"/>
      <c r="C13" s="61"/>
      <c r="D13" s="101"/>
    </row>
    <row r="14" spans="1:4" ht="31.95" hidden="1" customHeight="1">
      <c r="A14" s="10"/>
      <c r="B14" s="108"/>
      <c r="C14" s="61"/>
      <c r="D14" s="101"/>
    </row>
    <row r="15" spans="1:4" ht="21" customHeight="1">
      <c r="A15" s="61" t="s">
        <v>4</v>
      </c>
      <c r="B15" s="108"/>
      <c r="C15" s="61">
        <f>SUM(C6:C9)</f>
        <v>4</v>
      </c>
      <c r="D15" s="61">
        <f>SUM(D6:D9)</f>
        <v>4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00FF00"/>
  </sheetPr>
  <dimension ref="A1:M24"/>
  <sheetViews>
    <sheetView zoomScale="134" zoomScaleNormal="134" workbookViewId="0">
      <selection sqref="A1:XFD1"/>
    </sheetView>
  </sheetViews>
  <sheetFormatPr defaultRowHeight="13.2"/>
  <cols>
    <col min="1" max="1" width="21.6640625" style="11" customWidth="1"/>
    <col min="2" max="2" width="14" style="11" customWidth="1"/>
    <col min="3" max="3" width="20.109375" style="11" customWidth="1"/>
    <col min="4" max="4" width="19.33203125" style="11" customWidth="1"/>
    <col min="5" max="5" width="12.21875" style="11" customWidth="1"/>
    <col min="6" max="6" width="10" style="11" customWidth="1"/>
    <col min="7" max="7" width="10.33203125" style="11" customWidth="1"/>
    <col min="8" max="8" width="11.109375" style="11" customWidth="1"/>
    <col min="9" max="9" width="18.44140625" customWidth="1"/>
  </cols>
  <sheetData>
    <row r="1" spans="1:13">
      <c r="A1" s="11" t="s">
        <v>149</v>
      </c>
    </row>
    <row r="3" spans="1:13" ht="92.4">
      <c r="A3" s="57" t="s">
        <v>0</v>
      </c>
      <c r="B3" s="58" t="s">
        <v>84</v>
      </c>
      <c r="C3" s="44" t="s">
        <v>85</v>
      </c>
      <c r="D3" s="58" t="s">
        <v>9</v>
      </c>
      <c r="E3" s="44" t="s">
        <v>89</v>
      </c>
      <c r="F3" s="44" t="s">
        <v>128</v>
      </c>
      <c r="G3" s="44" t="s">
        <v>129</v>
      </c>
      <c r="H3" s="44" t="s">
        <v>130</v>
      </c>
    </row>
    <row r="4" spans="1:13">
      <c r="A4" s="51">
        <v>1</v>
      </c>
      <c r="B4" s="59">
        <v>2</v>
      </c>
      <c r="C4" s="60">
        <v>3</v>
      </c>
      <c r="D4" s="60">
        <v>4</v>
      </c>
      <c r="E4" s="60">
        <v>3</v>
      </c>
      <c r="F4" s="60">
        <v>4</v>
      </c>
      <c r="G4" s="60">
        <v>5</v>
      </c>
      <c r="H4" s="61"/>
    </row>
    <row r="5" spans="1:13" ht="26.4">
      <c r="A5" s="62" t="s">
        <v>16</v>
      </c>
      <c r="B5" s="63">
        <f>'1 качество бюдж.планир.'!C6+'2 качество исполн.бюдж.'!C6+'3 качество управл.долг.обяз.'!C6+'4 степень открытости'!C6</f>
        <v>36.000430401030016</v>
      </c>
      <c r="C5" s="64">
        <f>B5-C11</f>
        <v>1.4060791175488419</v>
      </c>
      <c r="D5" s="64">
        <f>POWER(C5,2)</f>
        <v>1.9770584848069299</v>
      </c>
      <c r="E5" s="65" t="str">
        <f>'Степень качества'!G6</f>
        <v>II</v>
      </c>
      <c r="F5" s="66"/>
      <c r="G5" s="63">
        <f>B5-F5*B5</f>
        <v>36.000430401030016</v>
      </c>
      <c r="H5" s="55" t="s">
        <v>86</v>
      </c>
      <c r="I5" s="4"/>
    </row>
    <row r="6" spans="1:13" ht="26.4">
      <c r="A6" s="62" t="s">
        <v>17</v>
      </c>
      <c r="B6" s="63">
        <f>'1 качество бюдж.планир.'!C7+'2 качество исполн.бюдж.'!C7+'3 качество управл.долг.обяз.'!C7+'4 степень открытости'!C7</f>
        <v>28.929474485889578</v>
      </c>
      <c r="C6" s="64">
        <f>B6-C11</f>
        <v>-5.6648767975915959</v>
      </c>
      <c r="D6" s="64">
        <f t="shared" ref="D6:D8" si="0">POWER(C6,2)</f>
        <v>32.090829131891617</v>
      </c>
      <c r="E6" s="65" t="str">
        <f>'Степень качества'!G7</f>
        <v>III</v>
      </c>
      <c r="F6" s="66"/>
      <c r="G6" s="63">
        <f t="shared" ref="G6:G8" si="1">B6-F6*B6</f>
        <v>28.929474485889578</v>
      </c>
      <c r="H6" s="55" t="s">
        <v>87</v>
      </c>
      <c r="I6" s="4"/>
    </row>
    <row r="7" spans="1:13" ht="26.4">
      <c r="A7" s="62" t="s">
        <v>18</v>
      </c>
      <c r="B7" s="63">
        <f>'1 качество бюдж.планир.'!C8+'2 качество исполн.бюдж.'!C8+'3 качество управл.долг.обяз.'!C8+'4 степень открытости'!C8</f>
        <v>31.497452058611152</v>
      </c>
      <c r="C7" s="64">
        <f>B7-C11</f>
        <v>-3.0968992248700218</v>
      </c>
      <c r="D7" s="64">
        <f t="shared" si="0"/>
        <v>9.5907848090005423</v>
      </c>
      <c r="E7" s="65" t="str">
        <f>'Степень качества'!G8</f>
        <v>II</v>
      </c>
      <c r="F7" s="66"/>
      <c r="G7" s="63">
        <f t="shared" si="1"/>
        <v>31.497452058611152</v>
      </c>
      <c r="H7" s="55" t="s">
        <v>86</v>
      </c>
      <c r="I7" s="4"/>
    </row>
    <row r="8" spans="1:13" ht="26.4">
      <c r="A8" s="62" t="s">
        <v>19</v>
      </c>
      <c r="B8" s="63">
        <f>'1 качество бюдж.планир.'!C9+'2 качество исполн.бюдж.'!C9+'3 качество управл.долг.обяз.'!C9+'4 степень открытости'!C9</f>
        <v>41.950048188393957</v>
      </c>
      <c r="C8" s="64">
        <f>B8-C11</f>
        <v>7.3556969049127829</v>
      </c>
      <c r="D8" s="64">
        <f t="shared" si="0"/>
        <v>54.106276956943496</v>
      </c>
      <c r="E8" s="65" t="str">
        <f>'Степень качества'!G9</f>
        <v>I</v>
      </c>
      <c r="F8" s="66"/>
      <c r="G8" s="63">
        <f t="shared" si="1"/>
        <v>41.950048188393957</v>
      </c>
      <c r="H8" s="55" t="s">
        <v>88</v>
      </c>
      <c r="I8" s="4"/>
    </row>
    <row r="9" spans="1:13">
      <c r="A9" s="11" t="s">
        <v>4</v>
      </c>
      <c r="B9" s="15"/>
      <c r="C9" s="15"/>
      <c r="D9" s="15"/>
      <c r="E9" s="67"/>
      <c r="F9" s="67"/>
      <c r="G9" s="67"/>
    </row>
    <row r="10" spans="1:13">
      <c r="B10" s="67"/>
      <c r="C10" s="67"/>
      <c r="D10" s="67"/>
      <c r="E10" s="68"/>
      <c r="F10" s="67"/>
      <c r="G10" s="67"/>
    </row>
    <row r="11" spans="1:13">
      <c r="A11" s="128" t="s">
        <v>70</v>
      </c>
      <c r="B11" s="129"/>
      <c r="C11" s="34">
        <f>AVERAGE(B5:B8)</f>
        <v>34.594351283481174</v>
      </c>
      <c r="D11" s="69"/>
      <c r="E11" s="69"/>
      <c r="F11" s="69"/>
      <c r="G11" s="69"/>
    </row>
    <row r="12" spans="1:13">
      <c r="A12" s="130" t="s">
        <v>14</v>
      </c>
      <c r="B12" s="131"/>
      <c r="C12" s="70">
        <f>AVERAGE(D5:D8)</f>
        <v>24.441237345660646</v>
      </c>
      <c r="D12" s="71"/>
      <c r="E12" s="71"/>
      <c r="F12" s="71"/>
      <c r="G12" s="71"/>
      <c r="H12" s="72"/>
      <c r="I12" s="21"/>
      <c r="J12" s="21"/>
      <c r="K12" s="21"/>
      <c r="L12" s="21"/>
      <c r="M12" s="21"/>
    </row>
    <row r="13" spans="1:13">
      <c r="A13" s="132" t="s">
        <v>71</v>
      </c>
      <c r="B13" s="133"/>
      <c r="C13" s="73">
        <f>SQRT(C12)</f>
        <v>4.9438079802577937</v>
      </c>
      <c r="D13" s="74"/>
      <c r="E13" s="75"/>
      <c r="F13" s="35"/>
      <c r="G13" s="35"/>
    </row>
    <row r="14" spans="1:13">
      <c r="B14" s="67"/>
      <c r="C14" s="67"/>
      <c r="D14" s="67"/>
      <c r="E14" s="67"/>
      <c r="F14" s="67"/>
      <c r="G14" s="67"/>
    </row>
    <row r="15" spans="1:13" ht="66">
      <c r="A15" s="76" t="s">
        <v>72</v>
      </c>
      <c r="B15" s="77" t="s">
        <v>10</v>
      </c>
      <c r="C15" s="78"/>
      <c r="D15" s="78"/>
      <c r="E15" s="79">
        <f>C11+2/3*C13</f>
        <v>37.890223270319701</v>
      </c>
      <c r="F15" s="79">
        <v>100</v>
      </c>
      <c r="G15" s="80"/>
    </row>
    <row r="16" spans="1:13" ht="66">
      <c r="A16" s="76" t="s">
        <v>73</v>
      </c>
      <c r="B16" s="77" t="s">
        <v>11</v>
      </c>
      <c r="C16" s="78"/>
      <c r="D16" s="78"/>
      <c r="E16" s="79">
        <f>C11-2/3*C13</f>
        <v>31.298479296642647</v>
      </c>
      <c r="F16" s="79">
        <f>E15</f>
        <v>37.890223270319701</v>
      </c>
      <c r="G16" s="80"/>
    </row>
    <row r="17" spans="1:7" ht="66">
      <c r="A17" s="76" t="s">
        <v>74</v>
      </c>
      <c r="B17" s="77" t="s">
        <v>12</v>
      </c>
      <c r="C17" s="78"/>
      <c r="D17" s="78"/>
      <c r="E17" s="79">
        <v>0</v>
      </c>
      <c r="F17" s="79">
        <f>E16</f>
        <v>31.298479296642647</v>
      </c>
      <c r="G17" s="80"/>
    </row>
    <row r="18" spans="1:7">
      <c r="B18" s="67"/>
      <c r="C18" s="67"/>
      <c r="D18" s="67"/>
      <c r="E18" s="67"/>
      <c r="F18" s="67"/>
      <c r="G18" s="67"/>
    </row>
    <row r="19" spans="1:7">
      <c r="B19" s="67"/>
      <c r="C19" s="67"/>
      <c r="D19" s="67"/>
      <c r="E19" s="67"/>
      <c r="F19" s="67"/>
      <c r="G19" s="67"/>
    </row>
    <row r="20" spans="1:7">
      <c r="B20" s="67"/>
      <c r="C20" s="67"/>
      <c r="D20" s="67"/>
      <c r="E20" s="67"/>
      <c r="F20" s="67"/>
      <c r="G20" s="67"/>
    </row>
    <row r="21" spans="1:7">
      <c r="B21" s="67"/>
      <c r="C21" s="67"/>
      <c r="D21" s="67"/>
      <c r="E21" s="67"/>
      <c r="F21" s="67"/>
      <c r="G21" s="67"/>
    </row>
    <row r="22" spans="1:7">
      <c r="B22" s="67"/>
      <c r="C22" s="67"/>
      <c r="D22" s="67"/>
      <c r="E22" s="67"/>
      <c r="F22" s="67"/>
      <c r="G22" s="67"/>
    </row>
    <row r="23" spans="1:7">
      <c r="B23" s="67"/>
      <c r="C23" s="67"/>
      <c r="D23" s="67"/>
      <c r="E23" s="67"/>
      <c r="F23" s="67"/>
      <c r="G23" s="67"/>
    </row>
    <row r="24" spans="1:7">
      <c r="B24" s="67"/>
      <c r="C24" s="67"/>
      <c r="D24" s="67"/>
      <c r="E24" s="67"/>
      <c r="F24" s="67"/>
      <c r="G24" s="67"/>
    </row>
  </sheetData>
  <mergeCells count="3">
    <mergeCell ref="A11:B11"/>
    <mergeCell ref="A12:B12"/>
    <mergeCell ref="A13:B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E19"/>
  <sheetViews>
    <sheetView workbookViewId="0">
      <selection activeCell="G27" sqref="G27"/>
    </sheetView>
  </sheetViews>
  <sheetFormatPr defaultRowHeight="13.2"/>
  <cols>
    <col min="1" max="1" width="31" customWidth="1"/>
    <col min="2" max="2" width="18.33203125" customWidth="1"/>
    <col min="3" max="3" width="2.5546875" customWidth="1"/>
    <col min="4" max="4" width="13" customWidth="1"/>
    <col min="10" max="10" width="10.6640625" customWidth="1"/>
  </cols>
  <sheetData>
    <row r="1" spans="1:5" ht="116.4" customHeight="1">
      <c r="A1" s="13" t="s">
        <v>0</v>
      </c>
      <c r="B1" s="12" t="s">
        <v>15</v>
      </c>
      <c r="C1" s="6"/>
    </row>
    <row r="2" spans="1:5">
      <c r="A2" s="2">
        <v>1</v>
      </c>
      <c r="B2" s="2">
        <v>2</v>
      </c>
      <c r="C2" s="7"/>
      <c r="D2" s="8"/>
    </row>
    <row r="3" spans="1:5" ht="31.2" customHeight="1">
      <c r="A3" s="16" t="s">
        <v>132</v>
      </c>
      <c r="B3" s="33">
        <f>'Рейтинг качества'!G8</f>
        <v>41.950048188393957</v>
      </c>
      <c r="C3" s="3"/>
      <c r="D3" s="15"/>
      <c r="E3" s="4"/>
    </row>
    <row r="4" spans="1:5" ht="27.6" customHeight="1">
      <c r="A4" s="10" t="s">
        <v>156</v>
      </c>
      <c r="B4" s="33">
        <f>'Рейтинг качества'!G5</f>
        <v>36.000430401030016</v>
      </c>
      <c r="C4" s="3"/>
      <c r="D4" s="15"/>
    </row>
    <row r="5" spans="1:5" ht="30.6" customHeight="1">
      <c r="A5" s="10" t="s">
        <v>157</v>
      </c>
      <c r="B5" s="33">
        <f>'Рейтинг качества'!G7</f>
        <v>31.497452058611152</v>
      </c>
      <c r="C5" s="3"/>
      <c r="D5" s="15"/>
    </row>
    <row r="6" spans="1:5" ht="31.95" customHeight="1">
      <c r="A6" s="16" t="s">
        <v>133</v>
      </c>
      <c r="B6" s="33">
        <f>'Рейтинг качества'!G6</f>
        <v>28.929474485889578</v>
      </c>
      <c r="C6" s="3"/>
      <c r="D6" s="15"/>
    </row>
    <row r="7" spans="1:5" ht="31.95" hidden="1" customHeight="1">
      <c r="A7" s="14"/>
      <c r="B7" s="33"/>
      <c r="C7" s="3"/>
      <c r="D7" s="11"/>
    </row>
    <row r="8" spans="1:5" ht="29.4" hidden="1" customHeight="1">
      <c r="A8" s="14"/>
      <c r="B8" s="33"/>
      <c r="C8" s="3"/>
    </row>
    <row r="9" spans="1:5" ht="31.2" hidden="1" customHeight="1">
      <c r="A9" s="14"/>
      <c r="B9" s="33"/>
      <c r="C9" s="3"/>
    </row>
    <row r="10" spans="1:5" ht="31.95" hidden="1" customHeight="1">
      <c r="A10" s="14"/>
      <c r="B10" s="36"/>
      <c r="C10" s="3"/>
    </row>
    <row r="11" spans="1:5" ht="31.95" hidden="1" customHeight="1">
      <c r="A11" s="14"/>
      <c r="B11" s="33"/>
      <c r="C11" s="3"/>
    </row>
    <row r="12" spans="1:5">
      <c r="A12" s="1"/>
      <c r="B12" s="56">
        <f>B3+B4+B5+B6+B7+B8+B9+B10+B11</f>
        <v>138.3774051339247</v>
      </c>
    </row>
    <row r="15" spans="1:5">
      <c r="B15">
        <v>0</v>
      </c>
    </row>
    <row r="16" spans="1:5">
      <c r="B16" s="138">
        <v>15</v>
      </c>
    </row>
    <row r="17" spans="2:2">
      <c r="B17" s="138">
        <v>30</v>
      </c>
    </row>
    <row r="18" spans="2:2">
      <c r="B18" s="138">
        <v>40</v>
      </c>
    </row>
    <row r="19" spans="2:2">
      <c r="B19" s="138"/>
    </row>
  </sheetData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33"/>
  </sheetPr>
  <dimension ref="A2:J24"/>
  <sheetViews>
    <sheetView topLeftCell="A4" zoomScale="119" zoomScaleNormal="119" workbookViewId="0">
      <selection activeCell="D16" sqref="D16"/>
    </sheetView>
  </sheetViews>
  <sheetFormatPr defaultRowHeight="13.2"/>
  <cols>
    <col min="1" max="1" width="36.5546875" style="11" customWidth="1"/>
    <col min="2" max="2" width="15.5546875" style="11" customWidth="1"/>
    <col min="3" max="3" width="15.88671875" style="11" customWidth="1"/>
    <col min="4" max="5" width="11.33203125" style="11" customWidth="1"/>
    <col min="6" max="7" width="11.6640625" style="11" customWidth="1"/>
    <col min="8" max="8" width="12.6640625" style="11" customWidth="1"/>
    <col min="9" max="9" width="11.6640625" style="11" customWidth="1"/>
  </cols>
  <sheetData>
    <row r="2" spans="1:10">
      <c r="A2" s="11" t="s">
        <v>31</v>
      </c>
    </row>
    <row r="3" spans="1:10">
      <c r="A3" s="11" t="s">
        <v>32</v>
      </c>
    </row>
    <row r="5" spans="1:10" ht="105" customHeight="1">
      <c r="A5" s="57" t="s">
        <v>0</v>
      </c>
      <c r="B5" s="44" t="s">
        <v>1</v>
      </c>
      <c r="C5" s="44" t="s">
        <v>2</v>
      </c>
      <c r="D5" s="81" t="s">
        <v>28</v>
      </c>
      <c r="E5" s="121" t="s">
        <v>40</v>
      </c>
      <c r="F5" s="44" t="s">
        <v>34</v>
      </c>
      <c r="G5" s="44" t="s">
        <v>33</v>
      </c>
      <c r="H5" s="44" t="s">
        <v>35</v>
      </c>
      <c r="I5" s="44" t="s">
        <v>131</v>
      </c>
      <c r="J5" s="19"/>
    </row>
    <row r="6" spans="1:10">
      <c r="A6" s="51">
        <v>1</v>
      </c>
      <c r="B6" s="51">
        <v>2</v>
      </c>
      <c r="C6" s="51">
        <v>3</v>
      </c>
      <c r="D6" s="51" t="s">
        <v>3</v>
      </c>
      <c r="E6" s="60" t="s">
        <v>39</v>
      </c>
      <c r="F6" s="51">
        <v>5</v>
      </c>
      <c r="G6" s="51">
        <v>6</v>
      </c>
      <c r="H6" s="51" t="s">
        <v>26</v>
      </c>
      <c r="I6" s="51">
        <v>8</v>
      </c>
    </row>
    <row r="7" spans="1:10" ht="31.2" customHeight="1">
      <c r="A7" s="10" t="s">
        <v>16</v>
      </c>
      <c r="B7" s="83">
        <f>114122406.7-64852299.94</f>
        <v>49270106.760000005</v>
      </c>
      <c r="C7" s="83">
        <f>60821384-20627284</f>
        <v>40194100</v>
      </c>
      <c r="D7" s="79">
        <f t="shared" ref="D7:D10" si="0">(B7-C7)/C7</f>
        <v>0.22580445289234005</v>
      </c>
      <c r="E7" s="96">
        <f>D7</f>
        <v>0.22580445289234005</v>
      </c>
      <c r="F7" s="79">
        <f>D21-E7</f>
        <v>-4.4528923400510845E-6</v>
      </c>
      <c r="G7" s="79">
        <f>D21-D20</f>
        <v>0.22256000000000001</v>
      </c>
      <c r="H7" s="79">
        <f>F7/G7</f>
        <v>-2.0007603972192148E-5</v>
      </c>
      <c r="I7" s="79">
        <f>H7*2</f>
        <v>-4.0015207944384296E-5</v>
      </c>
    </row>
    <row r="8" spans="1:10" ht="27.6" customHeight="1">
      <c r="A8" s="10" t="s">
        <v>17</v>
      </c>
      <c r="B8" s="83">
        <f>12057445.17-7919894.14</f>
        <v>4137551.0300000003</v>
      </c>
      <c r="C8" s="83">
        <f>12166900-8042700</f>
        <v>4124200</v>
      </c>
      <c r="D8" s="122">
        <f t="shared" si="0"/>
        <v>3.2372411619223753E-3</v>
      </c>
      <c r="E8" s="122">
        <v>0.04</v>
      </c>
      <c r="F8" s="79">
        <f>D21-E8</f>
        <v>0.18579999999999999</v>
      </c>
      <c r="G8" s="79">
        <f>D21-D20</f>
        <v>0.22256000000000001</v>
      </c>
      <c r="H8" s="79">
        <f>F8/G8</f>
        <v>0.83483105679367353</v>
      </c>
      <c r="I8" s="79">
        <f>H8*2</f>
        <v>1.6696621135873471</v>
      </c>
    </row>
    <row r="9" spans="1:10" ht="30.6" customHeight="1">
      <c r="A9" s="10" t="s">
        <v>18</v>
      </c>
      <c r="B9" s="83">
        <f>21265170.79-12301041</f>
        <v>8964129.7899999991</v>
      </c>
      <c r="C9" s="83">
        <f>19059400-11578500</f>
        <v>7480900</v>
      </c>
      <c r="D9" s="79">
        <f>(B9-C9)/C9</f>
        <v>0.198268896790493</v>
      </c>
      <c r="E9" s="96">
        <f>D9</f>
        <v>0.198268896790493</v>
      </c>
      <c r="F9" s="79">
        <f>D21-E9</f>
        <v>2.7531103209506996E-2</v>
      </c>
      <c r="G9" s="79">
        <f>D21-D20</f>
        <v>0.22256000000000001</v>
      </c>
      <c r="H9" s="79">
        <f>F9/G9</f>
        <v>0.12370193749778485</v>
      </c>
      <c r="I9" s="79">
        <f>H9*2</f>
        <v>0.24740387499556971</v>
      </c>
    </row>
    <row r="10" spans="1:10" ht="31.95" customHeight="1">
      <c r="A10" s="10" t="s">
        <v>19</v>
      </c>
      <c r="B10" s="83">
        <f>12232306.82-7693811.4</f>
        <v>4538495.42</v>
      </c>
      <c r="C10" s="83">
        <f>11420900-7360200</f>
        <v>4060700</v>
      </c>
      <c r="D10" s="96">
        <f t="shared" si="0"/>
        <v>0.11766331420691012</v>
      </c>
      <c r="E10" s="96">
        <f>D10</f>
        <v>0.11766331420691012</v>
      </c>
      <c r="F10" s="79">
        <f>D21-E10</f>
        <v>0.10813668579308988</v>
      </c>
      <c r="G10" s="79">
        <f>D21-D20</f>
        <v>0.22256000000000001</v>
      </c>
      <c r="H10" s="79">
        <f>F10/G10</f>
        <v>0.4858765537072694</v>
      </c>
      <c r="I10" s="79">
        <f>H10*2</f>
        <v>0.9717531074145388</v>
      </c>
    </row>
    <row r="11" spans="1:10" ht="29.4" hidden="1" customHeight="1">
      <c r="A11" s="10"/>
      <c r="B11" s="83"/>
      <c r="C11" s="83"/>
      <c r="D11" s="79"/>
      <c r="E11" s="80"/>
      <c r="F11" s="15"/>
      <c r="G11" s="15"/>
      <c r="H11" s="15"/>
      <c r="I11" s="15"/>
    </row>
    <row r="12" spans="1:10" ht="31.2" hidden="1" customHeight="1">
      <c r="A12" s="10"/>
      <c r="B12" s="83"/>
      <c r="C12" s="83"/>
      <c r="D12" s="79"/>
      <c r="E12" s="80"/>
      <c r="F12" s="15"/>
      <c r="G12" s="15"/>
      <c r="H12" s="15"/>
      <c r="I12" s="15"/>
    </row>
    <row r="13" spans="1:10" ht="31.95" hidden="1" customHeight="1">
      <c r="A13" s="10"/>
      <c r="B13" s="83"/>
      <c r="C13" s="83"/>
      <c r="D13" s="79"/>
      <c r="E13" s="80"/>
      <c r="F13" s="15"/>
      <c r="G13" s="15"/>
      <c r="H13" s="15"/>
      <c r="I13" s="15"/>
    </row>
    <row r="14" spans="1:10" ht="31.95" hidden="1" customHeight="1">
      <c r="A14" s="10"/>
      <c r="B14" s="83"/>
      <c r="C14" s="83"/>
      <c r="D14" s="79"/>
      <c r="E14" s="80"/>
      <c r="F14" s="15"/>
      <c r="G14" s="15"/>
      <c r="H14" s="15"/>
      <c r="I14" s="15"/>
    </row>
    <row r="15" spans="1:10" ht="31.95" hidden="1" customHeight="1">
      <c r="A15" s="10"/>
      <c r="B15" s="83"/>
      <c r="C15" s="83"/>
      <c r="D15" s="79"/>
      <c r="E15" s="80"/>
      <c r="F15" s="15"/>
      <c r="G15" s="15"/>
      <c r="H15" s="15"/>
      <c r="I15" s="15"/>
    </row>
    <row r="16" spans="1:10" s="4" customFormat="1">
      <c r="A16" s="11" t="s">
        <v>4</v>
      </c>
      <c r="B16" s="50">
        <f>SUM(B7:B10)</f>
        <v>66910283.000000007</v>
      </c>
      <c r="C16" s="50">
        <f>SUM(C7:C10)</f>
        <v>55859900</v>
      </c>
      <c r="D16" s="15">
        <f>(B16-C16)/C16</f>
        <v>0.19782317906047106</v>
      </c>
      <c r="E16" s="15"/>
      <c r="F16" s="15">
        <f>D21-D16</f>
        <v>2.797682093952894E-2</v>
      </c>
      <c r="G16" s="15">
        <f>D21-D20</f>
        <v>0.22256000000000001</v>
      </c>
      <c r="H16" s="15">
        <f>F16/G16</f>
        <v>0.12570462320061529</v>
      </c>
      <c r="I16" s="15">
        <f>H16*2</f>
        <v>0.25140924640123058</v>
      </c>
    </row>
    <row r="17" spans="1:9" s="4" customFormat="1">
      <c r="A17" s="50"/>
      <c r="B17" s="37">
        <f>159677329.48-92767046.48</f>
        <v>66910282.999999985</v>
      </c>
      <c r="C17" s="37">
        <f>103468584-47608684</f>
        <v>55859900</v>
      </c>
      <c r="D17" s="15"/>
      <c r="E17" s="15"/>
      <c r="F17" s="15"/>
      <c r="G17" s="15"/>
      <c r="H17" s="15"/>
      <c r="I17" s="15"/>
    </row>
    <row r="18" spans="1:9" s="4" customFormat="1">
      <c r="A18" s="50"/>
      <c r="B18" s="37">
        <f>B17-B16</f>
        <v>0</v>
      </c>
      <c r="C18" s="37">
        <f>C17-C16</f>
        <v>0</v>
      </c>
      <c r="D18" s="15"/>
      <c r="E18" s="15"/>
      <c r="F18" s="15"/>
      <c r="G18" s="15"/>
      <c r="H18" s="15"/>
      <c r="I18" s="15"/>
    </row>
    <row r="19" spans="1:9">
      <c r="A19" s="11" t="s">
        <v>22</v>
      </c>
      <c r="B19" s="50"/>
      <c r="C19" s="50"/>
      <c r="D19" s="15">
        <f>D16</f>
        <v>0.19782317906047106</v>
      </c>
      <c r="E19" s="15"/>
      <c r="F19" s="15"/>
      <c r="G19" s="15"/>
      <c r="H19" s="15"/>
      <c r="I19" s="15"/>
    </row>
    <row r="20" spans="1:9">
      <c r="A20" s="11" t="s">
        <v>23</v>
      </c>
      <c r="B20" s="50"/>
      <c r="C20" s="50"/>
      <c r="D20" s="15">
        <v>3.2399999999999998E-3</v>
      </c>
      <c r="E20" s="15"/>
      <c r="F20" s="15"/>
      <c r="G20" s="15"/>
      <c r="H20" s="15"/>
      <c r="I20" s="15"/>
    </row>
    <row r="21" spans="1:9">
      <c r="A21" s="11" t="s">
        <v>24</v>
      </c>
      <c r="D21" s="15">
        <v>0.2258</v>
      </c>
      <c r="E21" s="15"/>
      <c r="F21" s="15"/>
      <c r="G21" s="15"/>
      <c r="H21" s="15"/>
      <c r="I21" s="15"/>
    </row>
    <row r="22" spans="1:9">
      <c r="A22" s="112" t="s">
        <v>36</v>
      </c>
      <c r="B22" s="113"/>
      <c r="C22" s="113"/>
      <c r="D22" s="114"/>
      <c r="E22" s="114"/>
      <c r="F22" s="67"/>
      <c r="G22" s="67"/>
      <c r="H22" s="67"/>
      <c r="I22" s="67"/>
    </row>
    <row r="23" spans="1:9">
      <c r="A23" s="112" t="s">
        <v>37</v>
      </c>
      <c r="B23" s="113"/>
      <c r="C23" s="113"/>
      <c r="D23" s="115">
        <f>D19*5</f>
        <v>0.98911589530235533</v>
      </c>
      <c r="E23" s="114"/>
      <c r="F23" s="67"/>
      <c r="G23" s="67"/>
      <c r="H23" s="67"/>
      <c r="I23" s="67"/>
    </row>
    <row r="24" spans="1:9">
      <c r="A24" s="112" t="s">
        <v>38</v>
      </c>
      <c r="B24" s="113"/>
      <c r="C24" s="113"/>
      <c r="D24" s="115">
        <f>D19/5</f>
        <v>3.9564635812094212E-2</v>
      </c>
      <c r="E24" s="114"/>
    </row>
  </sheetData>
  <phoneticPr fontId="0" type="noConversion"/>
  <pageMargins left="0.55118110236220474" right="0.35433070866141736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34"/>
  </sheetPr>
  <dimension ref="A2:C15"/>
  <sheetViews>
    <sheetView zoomScale="140" zoomScaleNormal="140" workbookViewId="0">
      <selection activeCell="C7" sqref="C7"/>
    </sheetView>
  </sheetViews>
  <sheetFormatPr defaultRowHeight="13.2"/>
  <cols>
    <col min="1" max="1" width="48.6640625" style="11" customWidth="1"/>
    <col min="2" max="2" width="14.77734375" style="11" customWidth="1"/>
    <col min="3" max="3" width="14.33203125" style="11" customWidth="1"/>
    <col min="4" max="4" width="12.6640625" customWidth="1"/>
  </cols>
  <sheetData>
    <row r="2" spans="1:3">
      <c r="A2" s="11" t="s">
        <v>41</v>
      </c>
    </row>
    <row r="4" spans="1:3" ht="79.2" customHeight="1">
      <c r="A4" s="57" t="s">
        <v>0</v>
      </c>
      <c r="B4" s="44" t="s">
        <v>80</v>
      </c>
      <c r="C4" s="44" t="s">
        <v>83</v>
      </c>
    </row>
    <row r="5" spans="1:3">
      <c r="A5" s="51">
        <v>1</v>
      </c>
      <c r="B5" s="51">
        <v>2</v>
      </c>
      <c r="C5" s="51">
        <v>3</v>
      </c>
    </row>
    <row r="6" spans="1:3" ht="31.2" customHeight="1">
      <c r="A6" s="10" t="s">
        <v>16</v>
      </c>
      <c r="B6" s="110">
        <f>'1.1'!H7+'1.2'!D6+'1.3 '!I7</f>
        <v>2.9999701132353911</v>
      </c>
      <c r="C6" s="110">
        <f>2*B6</f>
        <v>5.9999402264707822</v>
      </c>
    </row>
    <row r="7" spans="1:3" ht="27.6" customHeight="1">
      <c r="A7" s="10" t="s">
        <v>17</v>
      </c>
      <c r="B7" s="110">
        <f>'1.1'!H8+'1.2'!D7+'1.3 '!I8</f>
        <v>2.6696481155993341</v>
      </c>
      <c r="C7" s="110">
        <f t="shared" ref="C7:C9" si="0">2*B7</f>
        <v>5.3392962311986683</v>
      </c>
    </row>
    <row r="8" spans="1:3" ht="30.6" customHeight="1">
      <c r="A8" s="10" t="s">
        <v>18</v>
      </c>
      <c r="B8" s="110">
        <f>'1.1'!H9+'1.2'!D8+'1.3 '!I9</f>
        <v>1.8983711535762726</v>
      </c>
      <c r="C8" s="110">
        <f t="shared" si="0"/>
        <v>3.7967423071525452</v>
      </c>
    </row>
    <row r="9" spans="1:3" ht="31.95" customHeight="1">
      <c r="A9" s="10" t="s">
        <v>19</v>
      </c>
      <c r="B9" s="110">
        <f>'1.1'!H10+'1.2'!D9+'1.3 '!I10</f>
        <v>2.2886472513853877</v>
      </c>
      <c r="C9" s="110">
        <f t="shared" si="0"/>
        <v>4.5772945027707754</v>
      </c>
    </row>
    <row r="10" spans="1:3" ht="29.4" hidden="1" customHeight="1">
      <c r="A10" s="10"/>
      <c r="B10" s="110"/>
      <c r="C10" s="110"/>
    </row>
    <row r="11" spans="1:3" ht="31.2" hidden="1" customHeight="1">
      <c r="A11" s="10"/>
      <c r="B11" s="110"/>
      <c r="C11" s="110"/>
    </row>
    <row r="12" spans="1:3" ht="31.95" hidden="1" customHeight="1">
      <c r="A12" s="10"/>
      <c r="B12" s="110"/>
      <c r="C12" s="110"/>
    </row>
    <row r="13" spans="1:3" ht="31.95" hidden="1" customHeight="1">
      <c r="A13" s="10"/>
      <c r="B13" s="110"/>
      <c r="C13" s="110"/>
    </row>
    <row r="14" spans="1:3" ht="31.95" hidden="1" customHeight="1">
      <c r="A14" s="10"/>
      <c r="B14" s="110"/>
      <c r="C14" s="110"/>
    </row>
    <row r="15" spans="1:3" s="4" customFormat="1">
      <c r="A15" s="11" t="s">
        <v>4</v>
      </c>
      <c r="B15" s="120">
        <f>SUM(B6:B9)</f>
        <v>9.856636633796386</v>
      </c>
      <c r="C15" s="120">
        <f>SUM(C6:C9)</f>
        <v>19.713273267592772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33"/>
  </sheetPr>
  <dimension ref="A2:D17"/>
  <sheetViews>
    <sheetView zoomScale="133" zoomScaleNormal="133" workbookViewId="0">
      <selection activeCell="B6" sqref="B6"/>
    </sheetView>
  </sheetViews>
  <sheetFormatPr defaultRowHeight="13.2"/>
  <cols>
    <col min="1" max="1" width="36" style="11" customWidth="1"/>
    <col min="2" max="2" width="12.44140625" style="11" customWidth="1"/>
    <col min="3" max="3" width="11.5546875" style="11" customWidth="1"/>
    <col min="4" max="4" width="11.109375" style="11" customWidth="1"/>
  </cols>
  <sheetData>
    <row r="2" spans="1:4">
      <c r="A2" s="11" t="s">
        <v>42</v>
      </c>
    </row>
    <row r="4" spans="1:4" ht="112.2" customHeight="1">
      <c r="A4" s="57" t="s">
        <v>0</v>
      </c>
      <c r="B4" s="44" t="s">
        <v>143</v>
      </c>
      <c r="C4" s="44" t="s">
        <v>43</v>
      </c>
      <c r="D4" s="44" t="s">
        <v>75</v>
      </c>
    </row>
    <row r="5" spans="1:4">
      <c r="A5" s="51">
        <v>1</v>
      </c>
      <c r="B5" s="51">
        <v>2</v>
      </c>
      <c r="C5" s="60">
        <v>4</v>
      </c>
      <c r="D5" s="60">
        <v>5</v>
      </c>
    </row>
    <row r="6" spans="1:4" ht="31.2" customHeight="1">
      <c r="A6" s="10" t="s">
        <v>16</v>
      </c>
      <c r="B6" s="48">
        <v>405412.57</v>
      </c>
      <c r="C6" s="61">
        <v>1</v>
      </c>
      <c r="D6" s="61">
        <f>2*C6</f>
        <v>2</v>
      </c>
    </row>
    <row r="7" spans="1:4" ht="27.6" customHeight="1">
      <c r="A7" s="10" t="s">
        <v>17</v>
      </c>
      <c r="B7" s="48">
        <v>45000</v>
      </c>
      <c r="C7" s="61">
        <v>1</v>
      </c>
      <c r="D7" s="61">
        <f t="shared" ref="D7:D9" si="0">2*C7</f>
        <v>2</v>
      </c>
    </row>
    <row r="8" spans="1:4" ht="30.6" customHeight="1">
      <c r="A8" s="10" t="s">
        <v>18</v>
      </c>
      <c r="B8" s="48">
        <v>10000</v>
      </c>
      <c r="C8" s="61">
        <v>1</v>
      </c>
      <c r="D8" s="61">
        <f t="shared" si="0"/>
        <v>2</v>
      </c>
    </row>
    <row r="9" spans="1:4" ht="31.95" customHeight="1">
      <c r="A9" s="10" t="s">
        <v>19</v>
      </c>
      <c r="B9" s="48">
        <v>3000</v>
      </c>
      <c r="C9" s="61">
        <v>1</v>
      </c>
      <c r="D9" s="61">
        <f t="shared" si="0"/>
        <v>2</v>
      </c>
    </row>
    <row r="10" spans="1:4" ht="29.4" hidden="1" customHeight="1">
      <c r="A10" s="10"/>
      <c r="B10" s="111"/>
      <c r="C10" s="61"/>
      <c r="D10" s="61"/>
    </row>
    <row r="11" spans="1:4" ht="31.2" hidden="1" customHeight="1">
      <c r="A11" s="10"/>
      <c r="B11" s="48"/>
      <c r="C11" s="61"/>
      <c r="D11" s="61"/>
    </row>
    <row r="12" spans="1:4" ht="31.95" hidden="1" customHeight="1">
      <c r="A12" s="10"/>
      <c r="B12" s="48"/>
      <c r="C12" s="61"/>
      <c r="D12" s="61"/>
    </row>
    <row r="13" spans="1:4" ht="31.95" hidden="1" customHeight="1">
      <c r="A13" s="10"/>
      <c r="B13" s="48"/>
      <c r="C13" s="61"/>
      <c r="D13" s="61"/>
    </row>
    <row r="14" spans="1:4" ht="31.95" hidden="1" customHeight="1">
      <c r="A14" s="10"/>
      <c r="B14" s="48"/>
      <c r="C14" s="61"/>
      <c r="D14" s="61"/>
    </row>
    <row r="15" spans="1:4">
      <c r="A15" s="11" t="s">
        <v>4</v>
      </c>
      <c r="B15" s="50">
        <f>SUM(B6:B9)</f>
        <v>463412.57</v>
      </c>
    </row>
    <row r="16" spans="1:4">
      <c r="B16" s="39">
        <v>463412.57</v>
      </c>
    </row>
    <row r="17" spans="2:2">
      <c r="B17" s="38">
        <f>B16-B15</f>
        <v>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33"/>
  </sheetPr>
  <dimension ref="A2:E18"/>
  <sheetViews>
    <sheetView zoomScale="133" zoomScaleNormal="133" workbookViewId="0">
      <selection activeCell="F10" sqref="F10"/>
    </sheetView>
  </sheetViews>
  <sheetFormatPr defaultRowHeight="13.2"/>
  <cols>
    <col min="1" max="1" width="36.88671875" style="11" customWidth="1"/>
    <col min="2" max="2" width="14.33203125" style="11" customWidth="1"/>
    <col min="3" max="3" width="15.88671875" style="11" customWidth="1"/>
    <col min="4" max="4" width="12.77734375" style="11" customWidth="1"/>
    <col min="5" max="5" width="8.88671875" style="11"/>
  </cols>
  <sheetData>
    <row r="2" spans="1:4">
      <c r="A2" s="11" t="s">
        <v>44</v>
      </c>
    </row>
    <row r="3" spans="1:4">
      <c r="A3" s="11" t="s">
        <v>45</v>
      </c>
    </row>
    <row r="5" spans="1:4" ht="99" customHeight="1">
      <c r="A5" s="57" t="s">
        <v>0</v>
      </c>
      <c r="B5" s="44" t="s">
        <v>46</v>
      </c>
      <c r="C5" s="44" t="s">
        <v>47</v>
      </c>
      <c r="D5" s="81" t="s">
        <v>75</v>
      </c>
    </row>
    <row r="6" spans="1:4">
      <c r="A6" s="51">
        <v>1</v>
      </c>
      <c r="B6" s="51">
        <v>2</v>
      </c>
      <c r="C6" s="51">
        <v>3</v>
      </c>
      <c r="D6" s="51">
        <v>4</v>
      </c>
    </row>
    <row r="7" spans="1:4" ht="31.2" customHeight="1">
      <c r="A7" s="10" t="s">
        <v>16</v>
      </c>
      <c r="B7" s="79">
        <v>0</v>
      </c>
      <c r="C7" s="101">
        <v>1</v>
      </c>
      <c r="D7" s="101">
        <f>C7*2</f>
        <v>2</v>
      </c>
    </row>
    <row r="8" spans="1:4" ht="27.6" customHeight="1">
      <c r="A8" s="10" t="s">
        <v>17</v>
      </c>
      <c r="B8" s="79">
        <v>0</v>
      </c>
      <c r="C8" s="101">
        <v>1</v>
      </c>
      <c r="D8" s="101">
        <f>C8*2</f>
        <v>2</v>
      </c>
    </row>
    <row r="9" spans="1:4" ht="30.6" customHeight="1">
      <c r="A9" s="10" t="s">
        <v>18</v>
      </c>
      <c r="B9" s="79">
        <v>0</v>
      </c>
      <c r="C9" s="101">
        <v>1</v>
      </c>
      <c r="D9" s="101">
        <f>C9*2</f>
        <v>2</v>
      </c>
    </row>
    <row r="10" spans="1:4" ht="31.95" customHeight="1">
      <c r="A10" s="10" t="s">
        <v>19</v>
      </c>
      <c r="B10" s="79">
        <v>0</v>
      </c>
      <c r="C10" s="101">
        <v>1</v>
      </c>
      <c r="D10" s="101">
        <f>C10*2</f>
        <v>2</v>
      </c>
    </row>
    <row r="11" spans="1:4" ht="29.4" hidden="1" customHeight="1">
      <c r="A11" s="10"/>
      <c r="B11" s="118"/>
      <c r="C11" s="119"/>
      <c r="D11" s="101"/>
    </row>
    <row r="12" spans="1:4" ht="31.2" hidden="1" customHeight="1">
      <c r="A12" s="10"/>
      <c r="B12" s="79"/>
      <c r="C12" s="101"/>
      <c r="D12" s="101"/>
    </row>
    <row r="13" spans="1:4" ht="31.95" hidden="1" customHeight="1">
      <c r="A13" s="10"/>
      <c r="B13" s="79"/>
      <c r="C13" s="101"/>
      <c r="D13" s="101"/>
    </row>
    <row r="14" spans="1:4" ht="31.95" hidden="1" customHeight="1">
      <c r="A14" s="10"/>
      <c r="B14" s="79"/>
      <c r="C14" s="101"/>
      <c r="D14" s="101"/>
    </row>
    <row r="15" spans="1:4" ht="31.95" hidden="1" customHeight="1">
      <c r="A15" s="10"/>
      <c r="B15" s="79"/>
      <c r="C15" s="101"/>
      <c r="D15" s="101"/>
    </row>
    <row r="16" spans="1:4">
      <c r="A16" s="11" t="s">
        <v>4</v>
      </c>
      <c r="B16" s="15">
        <f>SUM(B7:B10)</f>
        <v>0</v>
      </c>
      <c r="C16" s="104"/>
      <c r="D16" s="104"/>
    </row>
    <row r="17" spans="2:3">
      <c r="B17" s="38">
        <v>0</v>
      </c>
      <c r="C17" s="38"/>
    </row>
    <row r="18" spans="2:3">
      <c r="B18" s="11">
        <f>B17-B16</f>
        <v>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indexed="33"/>
  </sheetPr>
  <dimension ref="A2:J25"/>
  <sheetViews>
    <sheetView topLeftCell="A4" zoomScale="148" zoomScaleNormal="148" workbookViewId="0">
      <selection activeCell="B9" sqref="B9"/>
    </sheetView>
  </sheetViews>
  <sheetFormatPr defaultRowHeight="13.2"/>
  <cols>
    <col min="1" max="1" width="36.6640625" style="11" customWidth="1"/>
    <col min="2" max="2" width="17" style="11" customWidth="1"/>
    <col min="3" max="3" width="16.5546875" style="11" customWidth="1"/>
    <col min="4" max="4" width="13.33203125" style="11" customWidth="1"/>
    <col min="5" max="5" width="11.88671875" style="11" customWidth="1"/>
    <col min="6" max="6" width="7.33203125" style="11" customWidth="1"/>
    <col min="7" max="7" width="7.44140625" style="11" customWidth="1"/>
    <col min="8" max="8" width="8.88671875" style="11"/>
    <col min="9" max="9" width="11.33203125" style="11" customWidth="1"/>
  </cols>
  <sheetData>
    <row r="2" spans="1:10">
      <c r="A2" s="11" t="s">
        <v>48</v>
      </c>
    </row>
    <row r="3" spans="1:10">
      <c r="A3" s="11" t="s">
        <v>49</v>
      </c>
    </row>
    <row r="5" spans="1:10" ht="111" customHeight="1">
      <c r="A5" s="57" t="s">
        <v>0</v>
      </c>
      <c r="B5" s="44" t="s">
        <v>6</v>
      </c>
      <c r="C5" s="44" t="s">
        <v>144</v>
      </c>
      <c r="D5" s="44" t="s">
        <v>5</v>
      </c>
      <c r="E5" s="81" t="s">
        <v>28</v>
      </c>
      <c r="F5" s="44" t="s">
        <v>34</v>
      </c>
      <c r="G5" s="44" t="s">
        <v>33</v>
      </c>
      <c r="H5" s="44" t="s">
        <v>35</v>
      </c>
      <c r="I5" s="44" t="s">
        <v>75</v>
      </c>
      <c r="J5" s="3"/>
    </row>
    <row r="6" spans="1:10" ht="16.2" customHeight="1">
      <c r="A6" s="51">
        <v>1</v>
      </c>
      <c r="B6" s="51">
        <v>2</v>
      </c>
      <c r="C6" s="51">
        <v>3</v>
      </c>
      <c r="D6" s="51">
        <v>4</v>
      </c>
      <c r="E6" s="51" t="s">
        <v>52</v>
      </c>
      <c r="F6" s="51">
        <v>6</v>
      </c>
      <c r="G6" s="51">
        <v>7</v>
      </c>
      <c r="H6" s="51" t="s">
        <v>50</v>
      </c>
      <c r="I6" s="51">
        <v>9</v>
      </c>
      <c r="J6" s="3"/>
    </row>
    <row r="7" spans="1:10" ht="31.2" customHeight="1">
      <c r="A7" s="10" t="s">
        <v>16</v>
      </c>
      <c r="B7" s="85">
        <f>47708193.11-21506285.63</f>
        <v>26201907.48</v>
      </c>
      <c r="C7" s="85">
        <f>114105578.54-692037.5-61829440.04-2330822.4</f>
        <v>49253278.600000009</v>
      </c>
      <c r="D7" s="83">
        <f>C7-B7</f>
        <v>23051371.120000008</v>
      </c>
      <c r="E7" s="79">
        <f>D7/(1.1*(B7)/3)</f>
        <v>2.3993434764169388</v>
      </c>
      <c r="F7" s="79">
        <f>D22-E7</f>
        <v>-3.4764169387635491E-6</v>
      </c>
      <c r="G7" s="79">
        <f>D22-D21</f>
        <v>1.5373800000000002</v>
      </c>
      <c r="H7" s="79">
        <f>F7/G7</f>
        <v>-2.2612606764518522E-6</v>
      </c>
      <c r="I7" s="79">
        <f>H7*2</f>
        <v>-4.5225213529037044E-6</v>
      </c>
      <c r="J7" s="20"/>
    </row>
    <row r="8" spans="1:10" ht="27.6" customHeight="1">
      <c r="A8" s="10" t="s">
        <v>17</v>
      </c>
      <c r="B8" s="85">
        <f>6738340.07-610217.64</f>
        <v>6128122.4300000006</v>
      </c>
      <c r="C8" s="85">
        <f>12030214.15-214087.5-1300880-54026.64</f>
        <v>10461220.01</v>
      </c>
      <c r="D8" s="83">
        <f t="shared" ref="D8:D10" si="0">C8-B8</f>
        <v>4333097.5799999991</v>
      </c>
      <c r="E8" s="79">
        <f>D8/(1.1*(B8)/3)</f>
        <v>1.9284110246709691</v>
      </c>
      <c r="F8" s="79">
        <f>D22-E8</f>
        <v>0.47092897532903089</v>
      </c>
      <c r="G8" s="79">
        <f>D22-D21</f>
        <v>1.5373800000000002</v>
      </c>
      <c r="H8" s="79">
        <f>F8/G8</f>
        <v>0.30631917634484046</v>
      </c>
      <c r="I8" s="79">
        <f>H8*2</f>
        <v>0.61263835268968092</v>
      </c>
      <c r="J8" s="20"/>
    </row>
    <row r="9" spans="1:10" ht="30.6" customHeight="1">
      <c r="A9" s="10" t="s">
        <v>18</v>
      </c>
      <c r="B9" s="85">
        <f>13534027.51-2820160.94</f>
        <v>10713866.57</v>
      </c>
      <c r="C9" s="85">
        <f>21398816.14-252287.5-3319000-1202953.5</f>
        <v>16624575.140000001</v>
      </c>
      <c r="D9" s="83">
        <f t="shared" si="0"/>
        <v>5910708.5700000003</v>
      </c>
      <c r="E9" s="96">
        <f>D9/(1.1*(B9)/3)</f>
        <v>1.5046028599008565</v>
      </c>
      <c r="F9" s="96">
        <f>D22-E9</f>
        <v>0.89473714009914351</v>
      </c>
      <c r="G9" s="79">
        <f>D22-D21</f>
        <v>1.5373800000000002</v>
      </c>
      <c r="H9" s="79">
        <f>F9/G9</f>
        <v>0.58198827882445681</v>
      </c>
      <c r="I9" s="79">
        <f>H9*2</f>
        <v>1.1639765576489136</v>
      </c>
      <c r="J9" s="20"/>
    </row>
    <row r="10" spans="1:10" ht="31.95" customHeight="1">
      <c r="A10" s="10" t="s">
        <v>19</v>
      </c>
      <c r="B10" s="85">
        <f>7043905.5-659524.78</f>
        <v>6384380.7199999997</v>
      </c>
      <c r="C10" s="85">
        <f>11316391.07-138087.5-2088237-687886.9</f>
        <v>8402179.6699999999</v>
      </c>
      <c r="D10" s="83">
        <f t="shared" si="0"/>
        <v>2017798.9500000002</v>
      </c>
      <c r="E10" s="96">
        <f>D10/(1.1*(B10)/3)</f>
        <v>0.86196113402437347</v>
      </c>
      <c r="F10" s="96">
        <f>D22-E10</f>
        <v>1.5373788659756267</v>
      </c>
      <c r="G10" s="79">
        <f>D22-D21</f>
        <v>1.5373800000000002</v>
      </c>
      <c r="H10" s="79">
        <f>F10/G10</f>
        <v>0.99999926236560022</v>
      </c>
      <c r="I10" s="79">
        <f>H10*2</f>
        <v>1.9999985247312004</v>
      </c>
      <c r="J10" s="20"/>
    </row>
    <row r="11" spans="1:10" ht="29.4" hidden="1" customHeight="1">
      <c r="A11" s="10"/>
      <c r="B11" s="85"/>
      <c r="C11" s="85"/>
      <c r="D11" s="83"/>
      <c r="E11" s="79"/>
      <c r="F11" s="15"/>
      <c r="G11" s="15"/>
      <c r="H11" s="15"/>
      <c r="I11" s="15"/>
      <c r="J11" s="5"/>
    </row>
    <row r="12" spans="1:10" ht="31.2" hidden="1" customHeight="1">
      <c r="A12" s="10"/>
      <c r="B12" s="85"/>
      <c r="C12" s="85"/>
      <c r="D12" s="83"/>
      <c r="E12" s="79"/>
      <c r="F12" s="15"/>
      <c r="G12" s="15"/>
      <c r="H12" s="15"/>
      <c r="I12" s="15"/>
      <c r="J12" s="5"/>
    </row>
    <row r="13" spans="1:10" ht="31.95" hidden="1" customHeight="1">
      <c r="A13" s="10"/>
      <c r="B13" s="85"/>
      <c r="C13" s="85"/>
      <c r="D13" s="83"/>
      <c r="E13" s="79"/>
      <c r="F13" s="15"/>
      <c r="G13" s="15"/>
      <c r="H13" s="15"/>
      <c r="I13" s="15"/>
      <c r="J13" s="5"/>
    </row>
    <row r="14" spans="1:10" ht="31.95" hidden="1" customHeight="1">
      <c r="A14" s="10"/>
      <c r="B14" s="85"/>
      <c r="C14" s="85"/>
      <c r="D14" s="83"/>
      <c r="E14" s="79"/>
      <c r="F14" s="15"/>
      <c r="G14" s="15"/>
      <c r="H14" s="15"/>
      <c r="I14" s="15"/>
      <c r="J14" s="5"/>
    </row>
    <row r="15" spans="1:10" ht="31.95" hidden="1" customHeight="1">
      <c r="A15" s="10"/>
      <c r="B15" s="85"/>
      <c r="C15" s="85"/>
      <c r="D15" s="83"/>
      <c r="E15" s="117"/>
      <c r="F15" s="15"/>
      <c r="G15" s="15"/>
      <c r="H15" s="15"/>
      <c r="I15" s="15"/>
      <c r="J15" s="5"/>
    </row>
    <row r="16" spans="1:10">
      <c r="A16" s="11" t="s">
        <v>4</v>
      </c>
      <c r="B16" s="50">
        <f>B7+B8+B9+B10</f>
        <v>49428277.200000003</v>
      </c>
      <c r="C16" s="50">
        <f t="shared" ref="C16:D16" si="1">C7+C8+C9+C10</f>
        <v>84741253.420000002</v>
      </c>
      <c r="D16" s="50">
        <f t="shared" si="1"/>
        <v>35312976.220000006</v>
      </c>
      <c r="E16" s="80">
        <f>D16/(1.1*(B16)/3)</f>
        <v>1.9484417102774596</v>
      </c>
      <c r="F16" s="15">
        <f>D22-E16</f>
        <v>0.45089828972254042</v>
      </c>
      <c r="G16" s="15">
        <f>D22-D21</f>
        <v>1.5373800000000002</v>
      </c>
      <c r="H16" s="15">
        <f>F16/G16</f>
        <v>0.29329007123973277</v>
      </c>
      <c r="I16" s="15">
        <f>H16*2</f>
        <v>0.58658014247946555</v>
      </c>
      <c r="J16" s="5"/>
    </row>
    <row r="17" spans="1:5">
      <c r="B17" s="37">
        <f>75024466.19-25596188.99</f>
        <v>49428277.200000003</v>
      </c>
      <c r="C17" s="37">
        <f>158850999.9-74109746.48</f>
        <v>84741253.420000002</v>
      </c>
      <c r="D17" s="37">
        <f>C17-B17</f>
        <v>35312976.219999999</v>
      </c>
    </row>
    <row r="18" spans="1:5">
      <c r="B18" s="50">
        <f>B17-B16</f>
        <v>0</v>
      </c>
      <c r="C18" s="50">
        <f>C17-C16</f>
        <v>0</v>
      </c>
      <c r="D18" s="50"/>
    </row>
    <row r="19" spans="1:5">
      <c r="B19" s="50"/>
      <c r="C19" s="50"/>
      <c r="D19" s="50"/>
    </row>
    <row r="20" spans="1:5">
      <c r="A20" s="11" t="s">
        <v>22</v>
      </c>
      <c r="B20" s="50"/>
      <c r="C20" s="50"/>
      <c r="D20" s="15">
        <f>E16</f>
        <v>1.9484417102774596</v>
      </c>
      <c r="E20" s="67"/>
    </row>
    <row r="21" spans="1:5">
      <c r="A21" s="11" t="s">
        <v>23</v>
      </c>
      <c r="B21" s="50"/>
      <c r="C21" s="50"/>
      <c r="D21" s="15">
        <v>0.86195999999999995</v>
      </c>
      <c r="E21" s="67"/>
    </row>
    <row r="22" spans="1:5">
      <c r="A22" s="11" t="s">
        <v>24</v>
      </c>
      <c r="D22" s="15">
        <v>2.39934</v>
      </c>
      <c r="E22" s="67"/>
    </row>
    <row r="23" spans="1:5">
      <c r="A23" s="112" t="s">
        <v>36</v>
      </c>
      <c r="B23" s="113"/>
      <c r="C23" s="113"/>
      <c r="D23" s="114"/>
      <c r="E23" s="114"/>
    </row>
    <row r="24" spans="1:5">
      <c r="A24" s="112" t="s">
        <v>37</v>
      </c>
      <c r="B24" s="113"/>
      <c r="C24" s="113"/>
      <c r="D24" s="115">
        <f>D20*5</f>
        <v>9.7422085513872982</v>
      </c>
      <c r="E24" s="114"/>
    </row>
    <row r="25" spans="1:5">
      <c r="A25" s="112" t="s">
        <v>38</v>
      </c>
      <c r="B25" s="113"/>
      <c r="C25" s="113"/>
      <c r="D25" s="115">
        <f>D20/5</f>
        <v>0.38968834205549191</v>
      </c>
      <c r="E25" s="114"/>
    </row>
  </sheetData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indexed="34"/>
  </sheetPr>
  <dimension ref="A2:C15"/>
  <sheetViews>
    <sheetView zoomScale="129" zoomScaleNormal="129" workbookViewId="0">
      <selection activeCell="G15" sqref="G15"/>
    </sheetView>
  </sheetViews>
  <sheetFormatPr defaultRowHeight="13.2"/>
  <cols>
    <col min="1" max="1" width="39.5546875" style="11" customWidth="1"/>
    <col min="2" max="2" width="15.5546875" style="11" customWidth="1"/>
    <col min="3" max="3" width="14.5546875" style="11" customWidth="1"/>
    <col min="4" max="4" width="12.6640625" customWidth="1"/>
  </cols>
  <sheetData>
    <row r="2" spans="1:3">
      <c r="A2" s="11" t="s">
        <v>51</v>
      </c>
    </row>
    <row r="4" spans="1:3" ht="77.400000000000006" customHeight="1">
      <c r="A4" s="57" t="s">
        <v>0</v>
      </c>
      <c r="B4" s="44" t="s">
        <v>81</v>
      </c>
      <c r="C4" s="44" t="s">
        <v>83</v>
      </c>
    </row>
    <row r="5" spans="1:3">
      <c r="A5" s="51">
        <v>1</v>
      </c>
      <c r="B5" s="51">
        <v>2</v>
      </c>
      <c r="C5" s="51">
        <v>3</v>
      </c>
    </row>
    <row r="6" spans="1:3" ht="31.2" customHeight="1">
      <c r="A6" s="10" t="s">
        <v>16</v>
      </c>
      <c r="B6" s="110">
        <f>'2.1'!D6+'2.2'!D7+'2.3'!I7</f>
        <v>3.999995477478647</v>
      </c>
      <c r="C6" s="79">
        <f t="shared" ref="C6:C9" si="0">2*B6</f>
        <v>7.9999909549572941</v>
      </c>
    </row>
    <row r="7" spans="1:3" ht="27.6" customHeight="1">
      <c r="A7" s="10" t="s">
        <v>17</v>
      </c>
      <c r="B7" s="110">
        <f>'2.1'!D7+'2.2'!D8+'2.3'!I8</f>
        <v>4.6126383526896806</v>
      </c>
      <c r="C7" s="79">
        <f t="shared" si="0"/>
        <v>9.2252767053793612</v>
      </c>
    </row>
    <row r="8" spans="1:3" ht="30.6" customHeight="1">
      <c r="A8" s="10" t="s">
        <v>18</v>
      </c>
      <c r="B8" s="110">
        <f>'2.1'!D8+'2.2'!D9+'2.3'!I9</f>
        <v>5.1639765576489136</v>
      </c>
      <c r="C8" s="79">
        <f t="shared" si="0"/>
        <v>10.327953115297827</v>
      </c>
    </row>
    <row r="9" spans="1:3" ht="31.95" customHeight="1">
      <c r="A9" s="10" t="s">
        <v>19</v>
      </c>
      <c r="B9" s="110">
        <f>'2.1'!D9+'2.2'!D10+'2.3'!I10</f>
        <v>5.9999985247312004</v>
      </c>
      <c r="C9" s="79">
        <f t="shared" si="0"/>
        <v>11.999997049462401</v>
      </c>
    </row>
    <row r="10" spans="1:3" ht="29.4" hidden="1" customHeight="1">
      <c r="A10" s="10"/>
      <c r="B10" s="116"/>
      <c r="C10" s="79"/>
    </row>
    <row r="11" spans="1:3" ht="31.2" hidden="1" customHeight="1">
      <c r="A11" s="10"/>
      <c r="B11" s="116"/>
      <c r="C11" s="79"/>
    </row>
    <row r="12" spans="1:3" ht="31.95" hidden="1" customHeight="1">
      <c r="A12" s="10"/>
      <c r="B12" s="116"/>
      <c r="C12" s="79"/>
    </row>
    <row r="13" spans="1:3" ht="31.95" hidden="1" customHeight="1">
      <c r="A13" s="10"/>
      <c r="B13" s="116"/>
      <c r="C13" s="79"/>
    </row>
    <row r="14" spans="1:3" ht="31.95" hidden="1" customHeight="1">
      <c r="A14" s="10"/>
      <c r="B14" s="116"/>
      <c r="C14" s="79"/>
    </row>
    <row r="15" spans="1:3">
      <c r="A15" s="11" t="s">
        <v>4</v>
      </c>
      <c r="B15" s="15">
        <f>SUM(B6:B9)</f>
        <v>19.77660891254844</v>
      </c>
      <c r="C15" s="15">
        <f>B15*2</f>
        <v>39.55321782509688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FF"/>
  </sheetPr>
  <dimension ref="A2:I18"/>
  <sheetViews>
    <sheetView zoomScale="136" zoomScaleNormal="136" workbookViewId="0">
      <selection activeCell="D10" sqref="D10"/>
    </sheetView>
  </sheetViews>
  <sheetFormatPr defaultRowHeight="13.2"/>
  <cols>
    <col min="1" max="1" width="36.44140625" style="11" customWidth="1"/>
    <col min="2" max="2" width="15.88671875" style="11" customWidth="1"/>
    <col min="3" max="3" width="14.77734375" style="11" customWidth="1"/>
    <col min="4" max="4" width="13" style="11" customWidth="1"/>
    <col min="5" max="5" width="11.109375" style="11" customWidth="1"/>
    <col min="6" max="6" width="12.33203125" style="11" customWidth="1"/>
    <col min="7" max="7" width="12.6640625" style="11" customWidth="1"/>
    <col min="8" max="8" width="13.21875" style="11" customWidth="1"/>
    <col min="9" max="9" width="11.5546875" style="11" customWidth="1"/>
  </cols>
  <sheetData>
    <row r="2" spans="1:9">
      <c r="A2" s="11" t="s">
        <v>53</v>
      </c>
    </row>
    <row r="4" spans="1:9" ht="105.6">
      <c r="A4" s="57" t="s">
        <v>0</v>
      </c>
      <c r="B4" s="44" t="s">
        <v>145</v>
      </c>
      <c r="C4" s="44" t="s">
        <v>55</v>
      </c>
      <c r="D4" s="81" t="s">
        <v>28</v>
      </c>
      <c r="E4" s="81" t="s">
        <v>40</v>
      </c>
      <c r="F4" s="44" t="s">
        <v>34</v>
      </c>
      <c r="G4" s="44" t="s">
        <v>33</v>
      </c>
      <c r="H4" s="44" t="s">
        <v>35</v>
      </c>
      <c r="I4" s="44" t="s">
        <v>75</v>
      </c>
    </row>
    <row r="5" spans="1:9">
      <c r="A5" s="51">
        <v>1</v>
      </c>
      <c r="B5" s="51">
        <v>2</v>
      </c>
      <c r="C5" s="51">
        <v>3</v>
      </c>
      <c r="D5" s="51" t="s">
        <v>54</v>
      </c>
      <c r="E5" s="51" t="s">
        <v>39</v>
      </c>
      <c r="F5" s="51">
        <v>5</v>
      </c>
      <c r="G5" s="51">
        <v>6</v>
      </c>
      <c r="H5" s="51" t="s">
        <v>26</v>
      </c>
      <c r="I5" s="51">
        <v>8</v>
      </c>
    </row>
    <row r="6" spans="1:9" ht="19.8" customHeight="1">
      <c r="A6" s="10" t="s">
        <v>16</v>
      </c>
      <c r="B6" s="83">
        <v>3329900</v>
      </c>
      <c r="C6" s="83">
        <f>114122406.7-692037.5</f>
        <v>113430369.2</v>
      </c>
      <c r="D6" s="48">
        <f>B6/C6</f>
        <v>2.9356335728121741E-2</v>
      </c>
      <c r="E6" s="79">
        <f>D6</f>
        <v>2.9356335728121741E-2</v>
      </c>
      <c r="F6" s="79">
        <f>D15-E6</f>
        <v>3.6642718782599337E-6</v>
      </c>
      <c r="G6" s="79">
        <f>D15-D14</f>
        <v>2.9360000000000001E-2</v>
      </c>
      <c r="H6" s="79">
        <f>F6/G6</f>
        <v>1.2480490048569256E-4</v>
      </c>
      <c r="I6" s="79">
        <f>H6*2</f>
        <v>2.4960980097138511E-4</v>
      </c>
    </row>
    <row r="7" spans="1:9" ht="19.8" customHeight="1">
      <c r="A7" s="10" t="s">
        <v>17</v>
      </c>
      <c r="B7" s="83">
        <v>316000</v>
      </c>
      <c r="C7" s="83">
        <f>12057445.17-214087.5</f>
        <v>11843357.67</v>
      </c>
      <c r="D7" s="48">
        <f>B7/C7</f>
        <v>2.668162262805325E-2</v>
      </c>
      <c r="E7" s="79">
        <f>D7</f>
        <v>2.668162262805325E-2</v>
      </c>
      <c r="F7" s="79">
        <f>D15-E7</f>
        <v>2.6783773719467503E-3</v>
      </c>
      <c r="G7" s="79">
        <f>D15-D14</f>
        <v>2.9360000000000001E-2</v>
      </c>
      <c r="H7" s="79">
        <f>F7/G7</f>
        <v>9.1225387327886584E-2</v>
      </c>
      <c r="I7" s="79">
        <f>H7*2</f>
        <v>0.18245077465577317</v>
      </c>
    </row>
    <row r="8" spans="1:9" ht="19.8" customHeight="1">
      <c r="A8" s="10" t="s">
        <v>18</v>
      </c>
      <c r="B8" s="83">
        <v>0</v>
      </c>
      <c r="C8" s="83">
        <f>21265170.79-252287.5</f>
        <v>21012883.289999999</v>
      </c>
      <c r="D8" s="111">
        <f>B8/C8</f>
        <v>0</v>
      </c>
      <c r="E8" s="96">
        <f>D18</f>
        <v>4.6039662905798797E-3</v>
      </c>
      <c r="F8" s="79">
        <f>D15-E8</f>
        <v>2.475603370942012E-2</v>
      </c>
      <c r="G8" s="79">
        <f>D15-D14</f>
        <v>2.9360000000000001E-2</v>
      </c>
      <c r="H8" s="79">
        <f>F8/G8</f>
        <v>0.84318915904019476</v>
      </c>
      <c r="I8" s="79">
        <f>H8*2</f>
        <v>1.6863783180803895</v>
      </c>
    </row>
    <row r="9" spans="1:9" ht="19.8" customHeight="1">
      <c r="A9" s="10" t="s">
        <v>19</v>
      </c>
      <c r="B9" s="83">
        <v>0</v>
      </c>
      <c r="C9" s="83">
        <f>12232306.82-138087.5</f>
        <v>12094219.32</v>
      </c>
      <c r="D9" s="111">
        <f>B9/C9</f>
        <v>0</v>
      </c>
      <c r="E9" s="96">
        <f>D18</f>
        <v>4.6039662905798797E-3</v>
      </c>
      <c r="F9" s="79">
        <f>D15-E9</f>
        <v>2.475603370942012E-2</v>
      </c>
      <c r="G9" s="79">
        <f>D15-D14</f>
        <v>2.9360000000000001E-2</v>
      </c>
      <c r="H9" s="79">
        <f>F9/G9</f>
        <v>0.84318915904019476</v>
      </c>
      <c r="I9" s="79">
        <f>H9*2</f>
        <v>1.6863783180803895</v>
      </c>
    </row>
    <row r="10" spans="1:9">
      <c r="A10" s="11" t="s">
        <v>4</v>
      </c>
      <c r="B10" s="50">
        <f>SUM(B6:B9)</f>
        <v>3645900</v>
      </c>
      <c r="C10" s="50">
        <f>SUM(C6:C9)</f>
        <v>158380829.47999999</v>
      </c>
      <c r="D10" s="15">
        <f>B10/C10</f>
        <v>2.30198314528994E-2</v>
      </c>
      <c r="E10" s="15"/>
      <c r="F10" s="15">
        <f>D15-D10</f>
        <v>6.3401685471006011E-3</v>
      </c>
      <c r="G10" s="15">
        <f>D15-D14</f>
        <v>2.9360000000000001E-2</v>
      </c>
      <c r="H10" s="15">
        <f>F10/G10</f>
        <v>0.21594579520097415</v>
      </c>
      <c r="I10" s="15">
        <f>H10*2</f>
        <v>0.4318915904019483</v>
      </c>
    </row>
    <row r="11" spans="1:9">
      <c r="A11" s="50"/>
      <c r="B11" s="37">
        <v>3645900</v>
      </c>
      <c r="C11" s="37">
        <f>159677329.48-1296500</f>
        <v>158380829.47999999</v>
      </c>
      <c r="D11" s="15"/>
      <c r="E11" s="15"/>
      <c r="F11" s="15"/>
      <c r="G11" s="15"/>
      <c r="H11" s="15"/>
      <c r="I11" s="15"/>
    </row>
    <row r="12" spans="1:9">
      <c r="A12" s="50"/>
      <c r="B12" s="37">
        <f>B11-B10</f>
        <v>0</v>
      </c>
      <c r="C12" s="37">
        <f>C11-C10</f>
        <v>0</v>
      </c>
      <c r="D12" s="15"/>
      <c r="E12" s="15"/>
      <c r="F12" s="15"/>
      <c r="G12" s="15"/>
      <c r="H12" s="15"/>
      <c r="I12" s="15"/>
    </row>
    <row r="13" spans="1:9">
      <c r="A13" s="11" t="s">
        <v>22</v>
      </c>
      <c r="B13" s="50"/>
      <c r="C13" s="50"/>
      <c r="D13" s="15">
        <f>D10</f>
        <v>2.30198314528994E-2</v>
      </c>
      <c r="E13" s="15"/>
      <c r="F13" s="15"/>
      <c r="G13" s="15"/>
      <c r="H13" s="15"/>
      <c r="I13" s="15"/>
    </row>
    <row r="14" spans="1:9">
      <c r="A14" s="11" t="s">
        <v>23</v>
      </c>
      <c r="B14" s="50"/>
      <c r="C14" s="50"/>
      <c r="D14" s="15">
        <v>0</v>
      </c>
      <c r="E14" s="15"/>
      <c r="F14" s="15"/>
      <c r="G14" s="15"/>
      <c r="H14" s="15"/>
      <c r="I14" s="15"/>
    </row>
    <row r="15" spans="1:9">
      <c r="A15" s="11" t="s">
        <v>24</v>
      </c>
      <c r="D15" s="15">
        <v>2.9360000000000001E-2</v>
      </c>
      <c r="E15" s="15"/>
      <c r="F15" s="15"/>
      <c r="G15" s="15"/>
      <c r="H15" s="15"/>
      <c r="I15" s="15"/>
    </row>
    <row r="16" spans="1:9">
      <c r="A16" s="112" t="s">
        <v>36</v>
      </c>
      <c r="B16" s="113"/>
      <c r="C16" s="113"/>
      <c r="D16" s="114"/>
      <c r="E16" s="114"/>
      <c r="F16" s="67"/>
      <c r="G16" s="67"/>
      <c r="H16" s="67"/>
      <c r="I16" s="67"/>
    </row>
    <row r="17" spans="1:9">
      <c r="A17" s="112" t="s">
        <v>37</v>
      </c>
      <c r="B17" s="113"/>
      <c r="C17" s="113"/>
      <c r="D17" s="115">
        <f>D13*5</f>
        <v>0.115099157264497</v>
      </c>
      <c r="E17" s="114"/>
      <c r="F17" s="67"/>
      <c r="G17" s="67"/>
      <c r="H17" s="67"/>
      <c r="I17" s="67"/>
    </row>
    <row r="18" spans="1:9">
      <c r="A18" s="112" t="s">
        <v>38</v>
      </c>
      <c r="B18" s="113"/>
      <c r="C18" s="113"/>
      <c r="D18" s="115">
        <f>D13/5</f>
        <v>4.6039662905798797E-3</v>
      </c>
      <c r="E18" s="114"/>
    </row>
  </sheetData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Диаграммы</vt:lpstr>
      </vt:variant>
      <vt:variant>
        <vt:i4>1</vt:i4>
      </vt:variant>
    </vt:vector>
  </HeadingPairs>
  <TitlesOfParts>
    <vt:vector size="22" baseType="lpstr">
      <vt:lpstr>1.1</vt:lpstr>
      <vt:lpstr>1.2</vt:lpstr>
      <vt:lpstr>1.3 </vt:lpstr>
      <vt:lpstr>1 качество бюдж.планир.</vt:lpstr>
      <vt:lpstr>2.1</vt:lpstr>
      <vt:lpstr>2.2</vt:lpstr>
      <vt:lpstr>2.3</vt:lpstr>
      <vt:lpstr>2 качество исполн.бюдж.</vt:lpstr>
      <vt:lpstr>3.1</vt:lpstr>
      <vt:lpstr>3 качество управл.долг.обяз.</vt:lpstr>
      <vt:lpstr>4.1</vt:lpstr>
      <vt:lpstr>4.2</vt:lpstr>
      <vt:lpstr>4.3</vt:lpstr>
      <vt:lpstr>4.4</vt:lpstr>
      <vt:lpstr>4.5</vt:lpstr>
      <vt:lpstr>4.6</vt:lpstr>
      <vt:lpstr>4 степень открытости</vt:lpstr>
      <vt:lpstr>Степень качества</vt:lpstr>
      <vt:lpstr>Индикаторы</vt:lpstr>
      <vt:lpstr>Рейтинг качества</vt:lpstr>
      <vt:lpstr>Баллы по порядку(для диаг)</vt:lpstr>
      <vt:lpstr>Диаграмма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BKS</cp:lastModifiedBy>
  <cp:lastPrinted>2025-02-28T08:35:43Z</cp:lastPrinted>
  <dcterms:created xsi:type="dcterms:W3CDTF">1996-10-08T23:32:33Z</dcterms:created>
  <dcterms:modified xsi:type="dcterms:W3CDTF">2025-02-28T08:36:26Z</dcterms:modified>
</cp:coreProperties>
</file>